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mptabilité\CDR\Registre des salaires\"/>
    </mc:Choice>
  </mc:AlternateContent>
  <xr:revisionPtr revIDLastSave="0" documentId="8_{6565E882-6EA9-4C29-A40D-D917679F6F71}" xr6:coauthVersionLast="47" xr6:coauthVersionMax="47" xr10:uidLastSave="{00000000-0000-0000-0000-000000000000}"/>
  <bookViews>
    <workbookView xWindow="0" yWindow="0" windowWidth="17256" windowHeight="9096" tabRatio="768" firstSheet="23" activeTab="23" xr2:uid="{00000000-000D-0000-FFFF-FFFF00000000}"/>
  </bookViews>
  <sheets>
    <sheet name="2003" sheetId="1" r:id="rId1"/>
    <sheet name="2004" sheetId="4" r:id="rId2"/>
    <sheet name="2005" sheetId="5" r:id="rId3"/>
    <sheet name="2006" sheetId="6" r:id="rId4"/>
    <sheet name="2007" sheetId="7" r:id="rId5"/>
    <sheet name="2008" sheetId="8" r:id="rId6"/>
    <sheet name="2009" sheetId="9" r:id="rId7"/>
    <sheet name="2010" sheetId="10" r:id="rId8"/>
    <sheet name="2011" sheetId="11" r:id="rId9"/>
    <sheet name="2012" sheetId="12" r:id="rId10"/>
    <sheet name="2013" sheetId="13" r:id="rId11"/>
    <sheet name="2014" sheetId="14" r:id="rId12"/>
    <sheet name="2015" sheetId="17" r:id="rId13"/>
    <sheet name="Calcul 14-15" sheetId="15" r:id="rId14"/>
    <sheet name="Calcul 15-16" sheetId="16" r:id="rId15"/>
    <sheet name="Calcul 16-17" sheetId="18" r:id="rId16"/>
    <sheet name="Calcul 17-18" sheetId="19" r:id="rId17"/>
    <sheet name="Calcul 18-19" sheetId="20" r:id="rId18"/>
    <sheet name="Calcul 19-20" sheetId="21" r:id="rId19"/>
    <sheet name="Calcul 2021" sheetId="22" r:id="rId20"/>
    <sheet name="Calcul 2022" sheetId="23" r:id="rId21"/>
    <sheet name="Calcul 2023" sheetId="24" r:id="rId22"/>
    <sheet name="Calcul 2024" sheetId="25" r:id="rId23"/>
    <sheet name="Calcul 2025" sheetId="26" r:id="rId2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6" l="1"/>
  <c r="K8" i="26" l="1"/>
  <c r="K25" i="26" s="1"/>
  <c r="G27" i="26"/>
  <c r="G26" i="26"/>
  <c r="G25" i="26"/>
  <c r="E33" i="26"/>
  <c r="E32" i="26"/>
  <c r="O32" i="26" s="1"/>
  <c r="E31" i="26"/>
  <c r="E30" i="26"/>
  <c r="O30" i="26" s="1"/>
  <c r="E29" i="26"/>
  <c r="E28" i="26"/>
  <c r="G28" i="26" s="1"/>
  <c r="K27" i="26"/>
  <c r="J27" i="26"/>
  <c r="I27" i="26"/>
  <c r="F27" i="26"/>
  <c r="M26" i="26"/>
  <c r="K26" i="26"/>
  <c r="J26" i="26"/>
  <c r="I26" i="26"/>
  <c r="H26" i="26"/>
  <c r="H29" i="26" s="1"/>
  <c r="F26" i="26"/>
  <c r="E15" i="26"/>
  <c r="E14" i="26"/>
  <c r="J14" i="26" s="1"/>
  <c r="E13" i="26"/>
  <c r="E12" i="26"/>
  <c r="H12" i="26" s="1"/>
  <c r="J25" i="26"/>
  <c r="I8" i="26"/>
  <c r="I25" i="26" s="1"/>
  <c r="F8" i="26"/>
  <c r="F13" i="26" l="1"/>
  <c r="O29" i="26"/>
  <c r="L29" i="26"/>
  <c r="H31" i="26"/>
  <c r="L30" i="26"/>
  <c r="N30" i="26"/>
  <c r="M30" i="26"/>
  <c r="G31" i="26"/>
  <c r="G30" i="26"/>
  <c r="L28" i="26"/>
  <c r="N28" i="26"/>
  <c r="O28" i="26"/>
  <c r="G14" i="26"/>
  <c r="H14" i="26"/>
  <c r="M14" i="26"/>
  <c r="L14" i="26"/>
  <c r="F12" i="26"/>
  <c r="G12" i="26"/>
  <c r="I12" i="26"/>
  <c r="H13" i="26"/>
  <c r="G29" i="26"/>
  <c r="N29" i="26"/>
  <c r="I14" i="26"/>
  <c r="G32" i="26"/>
  <c r="H30" i="26"/>
  <c r="G13" i="26"/>
  <c r="F15" i="26"/>
  <c r="G15" i="26"/>
  <c r="H15" i="26"/>
  <c r="I15" i="26"/>
  <c r="J15" i="26"/>
  <c r="L15" i="26"/>
  <c r="M15" i="26"/>
  <c r="I30" i="26"/>
  <c r="I32" i="26"/>
  <c r="I31" i="26"/>
  <c r="I29" i="26"/>
  <c r="I28" i="26"/>
  <c r="F14" i="26"/>
  <c r="F25" i="26"/>
  <c r="K32" i="26"/>
  <c r="J32" i="26"/>
  <c r="J30" i="26"/>
  <c r="J29" i="26"/>
  <c r="J28" i="26"/>
  <c r="M11" i="26"/>
  <c r="E17" i="26"/>
  <c r="L11" i="26"/>
  <c r="K11" i="26"/>
  <c r="J11" i="26"/>
  <c r="I11" i="26"/>
  <c r="H11" i="26"/>
  <c r="G11" i="26"/>
  <c r="F11" i="26"/>
  <c r="O33" i="26"/>
  <c r="N33" i="26"/>
  <c r="M33" i="26"/>
  <c r="L33" i="26"/>
  <c r="K33" i="26"/>
  <c r="J33" i="26"/>
  <c r="I33" i="26"/>
  <c r="H33" i="26"/>
  <c r="G33" i="26"/>
  <c r="E35" i="26"/>
  <c r="F33" i="26"/>
  <c r="K28" i="26"/>
  <c r="I13" i="26"/>
  <c r="K15" i="26"/>
  <c r="K29" i="26"/>
  <c r="H32" i="26"/>
  <c r="J13" i="26"/>
  <c r="K14" i="26"/>
  <c r="M28" i="26"/>
  <c r="K30" i="26"/>
  <c r="J31" i="26"/>
  <c r="J12" i="26"/>
  <c r="K13" i="26"/>
  <c r="M29" i="26"/>
  <c r="K31" i="26"/>
  <c r="K12" i="26"/>
  <c r="L13" i="26"/>
  <c r="L31" i="26"/>
  <c r="L12" i="26"/>
  <c r="M13" i="26"/>
  <c r="M31" i="26"/>
  <c r="L32" i="26"/>
  <c r="M12" i="26"/>
  <c r="N31" i="26"/>
  <c r="M32" i="26"/>
  <c r="F28" i="26"/>
  <c r="O31" i="26"/>
  <c r="N32" i="26"/>
  <c r="H28" i="26"/>
  <c r="B11" i="25"/>
  <c r="O35" i="26" l="1"/>
  <c r="N35" i="26"/>
  <c r="G17" i="26"/>
  <c r="F17" i="26"/>
  <c r="L35" i="26"/>
  <c r="J35" i="26"/>
  <c r="M35" i="26"/>
  <c r="N15" i="26"/>
  <c r="O15" i="26" s="1"/>
  <c r="H17" i="26"/>
  <c r="N12" i="26"/>
  <c r="O12" i="26" s="1"/>
  <c r="I17" i="26"/>
  <c r="I35" i="26"/>
  <c r="N13" i="26"/>
  <c r="O13" i="26" s="1"/>
  <c r="P33" i="26"/>
  <c r="Q33" i="26" s="1"/>
  <c r="F32" i="26"/>
  <c r="P32" i="26" s="1"/>
  <c r="Q32" i="26" s="1"/>
  <c r="F30" i="26"/>
  <c r="P30" i="26" s="1"/>
  <c r="Q30" i="26" s="1"/>
  <c r="N14" i="26"/>
  <c r="O14" i="26" s="1"/>
  <c r="F31" i="26"/>
  <c r="P31" i="26" s="1"/>
  <c r="Q31" i="26" s="1"/>
  <c r="F29" i="26"/>
  <c r="P29" i="26" s="1"/>
  <c r="Q29" i="26" s="1"/>
  <c r="H35" i="26"/>
  <c r="N11" i="26"/>
  <c r="M17" i="26"/>
  <c r="J17" i="26"/>
  <c r="K17" i="26"/>
  <c r="P28" i="26"/>
  <c r="L17" i="26"/>
  <c r="K35" i="26"/>
  <c r="E11" i="25"/>
  <c r="G11" i="25" s="1"/>
  <c r="K8" i="25"/>
  <c r="J8" i="25"/>
  <c r="I8" i="25"/>
  <c r="F8" i="25"/>
  <c r="F35" i="26" l="1"/>
  <c r="P35" i="26"/>
  <c r="Q28" i="26"/>
  <c r="O11" i="26"/>
  <c r="N17" i="26"/>
  <c r="K26" i="25"/>
  <c r="F25" i="25"/>
  <c r="I25" i="25"/>
  <c r="J25" i="25"/>
  <c r="K25" i="25"/>
  <c r="F26" i="25"/>
  <c r="H26" i="25"/>
  <c r="I26" i="25"/>
  <c r="J26" i="25"/>
  <c r="F27" i="25"/>
  <c r="I27" i="25"/>
  <c r="J27" i="25"/>
  <c r="K27" i="25"/>
  <c r="E33" i="25"/>
  <c r="E32" i="25"/>
  <c r="E31" i="25"/>
  <c r="E30" i="25"/>
  <c r="E29" i="25"/>
  <c r="E28" i="25"/>
  <c r="M26" i="25"/>
  <c r="E15" i="25"/>
  <c r="E14" i="25"/>
  <c r="F14" i="25" s="1"/>
  <c r="E13" i="25"/>
  <c r="E12" i="25"/>
  <c r="K13" i="25"/>
  <c r="I13" i="25" l="1"/>
  <c r="M13" i="25"/>
  <c r="L13" i="25"/>
  <c r="J13" i="25"/>
  <c r="J14" i="25"/>
  <c r="G14" i="25"/>
  <c r="H14" i="25"/>
  <c r="M14" i="25"/>
  <c r="L15" i="25"/>
  <c r="G15" i="25"/>
  <c r="G12" i="25"/>
  <c r="M15" i="25"/>
  <c r="L12" i="25"/>
  <c r="L14" i="25"/>
  <c r="H13" i="25"/>
  <c r="G13" i="25"/>
  <c r="O33" i="25"/>
  <c r="G33" i="25"/>
  <c r="O30" i="25"/>
  <c r="G30" i="25"/>
  <c r="O28" i="25"/>
  <c r="G28" i="25"/>
  <c r="O29" i="25"/>
  <c r="G29" i="25"/>
  <c r="O31" i="25"/>
  <c r="G31" i="25"/>
  <c r="O32" i="25"/>
  <c r="G32" i="25"/>
  <c r="M12" i="25"/>
  <c r="F12" i="25"/>
  <c r="H12" i="25"/>
  <c r="I12" i="25"/>
  <c r="J12" i="25"/>
  <c r="F30" i="25"/>
  <c r="K12" i="25"/>
  <c r="H28" i="25"/>
  <c r="H33" i="25"/>
  <c r="I29" i="25"/>
  <c r="I31" i="25"/>
  <c r="I33" i="25"/>
  <c r="K11" i="25"/>
  <c r="F15" i="25"/>
  <c r="J28" i="25"/>
  <c r="J29" i="25"/>
  <c r="J30" i="25"/>
  <c r="J31" i="25"/>
  <c r="J32" i="25"/>
  <c r="J33" i="25"/>
  <c r="E35" i="25"/>
  <c r="F28" i="25"/>
  <c r="F31" i="25"/>
  <c r="F33" i="25"/>
  <c r="I11" i="25"/>
  <c r="J11" i="25"/>
  <c r="I28" i="25"/>
  <c r="I30" i="25"/>
  <c r="I32" i="25"/>
  <c r="L11" i="25"/>
  <c r="H15" i="25"/>
  <c r="I15" i="25"/>
  <c r="K29" i="25"/>
  <c r="L29" i="25"/>
  <c r="L31" i="25"/>
  <c r="L33" i="25"/>
  <c r="J15" i="25"/>
  <c r="M28" i="25"/>
  <c r="M30" i="25"/>
  <c r="M32" i="25"/>
  <c r="F13" i="25"/>
  <c r="I14" i="25"/>
  <c r="K15" i="25"/>
  <c r="N28" i="25"/>
  <c r="N29" i="25"/>
  <c r="N30" i="25"/>
  <c r="N31" i="25"/>
  <c r="N32" i="25"/>
  <c r="N33" i="25"/>
  <c r="K14" i="25"/>
  <c r="F11" i="25"/>
  <c r="H11" i="25"/>
  <c r="E17" i="25"/>
  <c r="F29" i="25"/>
  <c r="F32" i="25"/>
  <c r="H29" i="25"/>
  <c r="H30" i="25"/>
  <c r="H31" i="25"/>
  <c r="H32" i="25"/>
  <c r="M11" i="25"/>
  <c r="L28" i="25"/>
  <c r="L30" i="25"/>
  <c r="L32" i="25"/>
  <c r="M29" i="25"/>
  <c r="M31" i="25"/>
  <c r="M33" i="25"/>
  <c r="E14" i="24"/>
  <c r="G17" i="25" l="1"/>
  <c r="O35" i="25"/>
  <c r="N12" i="25"/>
  <c r="O12" i="25" s="1"/>
  <c r="N13" i="25"/>
  <c r="O13" i="25" s="1"/>
  <c r="L17" i="25"/>
  <c r="M17" i="25"/>
  <c r="J17" i="25"/>
  <c r="I35" i="25"/>
  <c r="J35" i="25"/>
  <c r="N14" i="25"/>
  <c r="O14" i="25" s="1"/>
  <c r="H17" i="25"/>
  <c r="I17" i="25"/>
  <c r="P29" i="25"/>
  <c r="Q29" i="25" s="1"/>
  <c r="N35" i="25"/>
  <c r="K33" i="25"/>
  <c r="P33" i="25" s="1"/>
  <c r="Q33" i="25" s="1"/>
  <c r="K30" i="25"/>
  <c r="P30" i="25" s="1"/>
  <c r="Q30" i="25" s="1"/>
  <c r="F35" i="25"/>
  <c r="N15" i="25"/>
  <c r="O15" i="25" s="1"/>
  <c r="F17" i="25"/>
  <c r="M35" i="25"/>
  <c r="K28" i="25"/>
  <c r="P28" i="25" s="1"/>
  <c r="H35" i="25"/>
  <c r="K31" i="25"/>
  <c r="P31" i="25" s="1"/>
  <c r="Q31" i="25" s="1"/>
  <c r="L35" i="25"/>
  <c r="K17" i="25"/>
  <c r="K32" i="25"/>
  <c r="P32" i="25" s="1"/>
  <c r="Q32" i="25" s="1"/>
  <c r="N11" i="25"/>
  <c r="K14" i="24"/>
  <c r="L14" i="24"/>
  <c r="G14" i="24"/>
  <c r="F14" i="24"/>
  <c r="J8" i="24"/>
  <c r="J25" i="24" s="1"/>
  <c r="J9" i="24"/>
  <c r="J26" i="24" s="1"/>
  <c r="E33" i="24"/>
  <c r="N33" i="24" s="1"/>
  <c r="E32" i="24"/>
  <c r="M32" i="24" s="1"/>
  <c r="E31" i="24"/>
  <c r="N31" i="24" s="1"/>
  <c r="E30" i="24"/>
  <c r="M30" i="24" s="1"/>
  <c r="E29" i="24"/>
  <c r="N29" i="24" s="1"/>
  <c r="E28" i="24"/>
  <c r="J27" i="24"/>
  <c r="I27" i="24"/>
  <c r="H27" i="24"/>
  <c r="F27" i="24"/>
  <c r="L26" i="24"/>
  <c r="I26" i="24"/>
  <c r="H26" i="24"/>
  <c r="G26" i="24"/>
  <c r="G32" i="24" s="1"/>
  <c r="F26" i="24"/>
  <c r="F25" i="24"/>
  <c r="E15" i="24"/>
  <c r="F15" i="24" s="1"/>
  <c r="E13" i="24"/>
  <c r="E12" i="24"/>
  <c r="K12" i="24" s="1"/>
  <c r="E11" i="24"/>
  <c r="F11" i="24" s="1"/>
  <c r="I8" i="24"/>
  <c r="I25" i="24" s="1"/>
  <c r="H8" i="24"/>
  <c r="H14" i="24" s="1"/>
  <c r="E35" i="24" l="1"/>
  <c r="J14" i="24"/>
  <c r="I14" i="24"/>
  <c r="M14" i="24" s="1"/>
  <c r="N14" i="24" s="1"/>
  <c r="Q28" i="25"/>
  <c r="P35" i="25"/>
  <c r="N17" i="25"/>
  <c r="O11" i="25"/>
  <c r="K35" i="25"/>
  <c r="G15" i="24"/>
  <c r="K15" i="24"/>
  <c r="L15" i="24"/>
  <c r="L12" i="24"/>
  <c r="G29" i="24"/>
  <c r="G33" i="24"/>
  <c r="H12" i="24"/>
  <c r="G12" i="24"/>
  <c r="I32" i="24"/>
  <c r="K28" i="24"/>
  <c r="K29" i="24"/>
  <c r="K30" i="24"/>
  <c r="K31" i="24"/>
  <c r="K32" i="24"/>
  <c r="K33" i="24"/>
  <c r="G28" i="24"/>
  <c r="G30" i="24"/>
  <c r="G31" i="24"/>
  <c r="F31" i="24"/>
  <c r="L28" i="24"/>
  <c r="N28" i="24"/>
  <c r="N30" i="24"/>
  <c r="N32" i="24"/>
  <c r="I29" i="24"/>
  <c r="I13" i="24"/>
  <c r="J33" i="24"/>
  <c r="J29" i="24"/>
  <c r="J12" i="24"/>
  <c r="J13" i="24"/>
  <c r="F28" i="24"/>
  <c r="F32" i="24"/>
  <c r="F29" i="24"/>
  <c r="I31" i="24"/>
  <c r="I33" i="24"/>
  <c r="E17" i="24"/>
  <c r="H15" i="24"/>
  <c r="G11" i="24"/>
  <c r="K13" i="24"/>
  <c r="I15" i="24"/>
  <c r="H25" i="24"/>
  <c r="L29" i="24"/>
  <c r="L31" i="24"/>
  <c r="L33" i="24"/>
  <c r="H11" i="24"/>
  <c r="F12" i="24"/>
  <c r="L13" i="24"/>
  <c r="J15" i="24"/>
  <c r="I28" i="24"/>
  <c r="M29" i="24"/>
  <c r="I30" i="24"/>
  <c r="M31" i="24"/>
  <c r="M33" i="24"/>
  <c r="I11" i="24"/>
  <c r="J28" i="24"/>
  <c r="J30" i="24"/>
  <c r="J32" i="24"/>
  <c r="F33" i="24"/>
  <c r="J11" i="24"/>
  <c r="G13" i="24"/>
  <c r="L30" i="24"/>
  <c r="L32" i="24"/>
  <c r="F13" i="24"/>
  <c r="K11" i="24"/>
  <c r="I12" i="24"/>
  <c r="L11" i="24"/>
  <c r="H13" i="24"/>
  <c r="M28" i="24"/>
  <c r="F30" i="24"/>
  <c r="J31" i="24"/>
  <c r="J8" i="23"/>
  <c r="J9" i="23"/>
  <c r="J25" i="23" s="1"/>
  <c r="E32" i="23"/>
  <c r="N32" i="23" s="1"/>
  <c r="E31" i="23"/>
  <c r="N31" i="23" s="1"/>
  <c r="E30" i="23"/>
  <c r="N30" i="23" s="1"/>
  <c r="E29" i="23"/>
  <c r="E28" i="23"/>
  <c r="N28" i="23" s="1"/>
  <c r="E27" i="23"/>
  <c r="N27" i="23" s="1"/>
  <c r="J26" i="23"/>
  <c r="I26" i="23"/>
  <c r="H26" i="23"/>
  <c r="F26" i="23"/>
  <c r="L25" i="23"/>
  <c r="I25" i="23"/>
  <c r="H25" i="23"/>
  <c r="G25" i="23"/>
  <c r="F25" i="23"/>
  <c r="F24" i="23"/>
  <c r="E14" i="23"/>
  <c r="G14" i="23" s="1"/>
  <c r="E13" i="23"/>
  <c r="E12" i="23"/>
  <c r="E11" i="23"/>
  <c r="K11" i="23" s="1"/>
  <c r="I8" i="23"/>
  <c r="H8" i="23"/>
  <c r="H13" i="23" s="1"/>
  <c r="L13" i="23" l="1"/>
  <c r="K13" i="23"/>
  <c r="N29" i="23"/>
  <c r="M29" i="23"/>
  <c r="K17" i="24"/>
  <c r="L32" i="23"/>
  <c r="I35" i="24"/>
  <c r="K29" i="23"/>
  <c r="G35" i="24"/>
  <c r="L17" i="24"/>
  <c r="N34" i="23"/>
  <c r="G31" i="23"/>
  <c r="H14" i="23"/>
  <c r="K31" i="23"/>
  <c r="J17" i="24"/>
  <c r="L35" i="24"/>
  <c r="K35" i="24"/>
  <c r="G29" i="23"/>
  <c r="M31" i="23"/>
  <c r="N35" i="24"/>
  <c r="M12" i="24"/>
  <c r="N12" i="24" s="1"/>
  <c r="M13" i="24"/>
  <c r="N13" i="24" s="1"/>
  <c r="M15" i="24"/>
  <c r="N15" i="24" s="1"/>
  <c r="F17" i="24"/>
  <c r="F35" i="24"/>
  <c r="H17" i="24"/>
  <c r="G17" i="24"/>
  <c r="H33" i="24"/>
  <c r="O33" i="24" s="1"/>
  <c r="P33" i="24" s="1"/>
  <c r="H31" i="24"/>
  <c r="O31" i="24" s="1"/>
  <c r="P31" i="24" s="1"/>
  <c r="H29" i="24"/>
  <c r="O29" i="24" s="1"/>
  <c r="P29" i="24" s="1"/>
  <c r="H32" i="24"/>
  <c r="O32" i="24" s="1"/>
  <c r="P32" i="24" s="1"/>
  <c r="H30" i="24"/>
  <c r="O30" i="24" s="1"/>
  <c r="P30" i="24" s="1"/>
  <c r="H28" i="24"/>
  <c r="M11" i="24"/>
  <c r="J35" i="24"/>
  <c r="M35" i="24"/>
  <c r="I17" i="24"/>
  <c r="M28" i="23"/>
  <c r="G30" i="23"/>
  <c r="G28" i="23"/>
  <c r="F32" i="23"/>
  <c r="K28" i="23"/>
  <c r="F13" i="23"/>
  <c r="G27" i="23"/>
  <c r="K30" i="23"/>
  <c r="G13" i="23"/>
  <c r="K27" i="23"/>
  <c r="M30" i="23"/>
  <c r="G32" i="23"/>
  <c r="M27" i="23"/>
  <c r="K32" i="23"/>
  <c r="I13" i="23"/>
  <c r="M32" i="23"/>
  <c r="H24" i="23"/>
  <c r="H12" i="23"/>
  <c r="J11" i="23"/>
  <c r="J14" i="23"/>
  <c r="G12" i="23"/>
  <c r="K14" i="23"/>
  <c r="J13" i="23"/>
  <c r="G11" i="23"/>
  <c r="I12" i="23"/>
  <c r="H11" i="23"/>
  <c r="J12" i="23"/>
  <c r="I24" i="23"/>
  <c r="E34" i="23"/>
  <c r="L27" i="23"/>
  <c r="L30" i="23"/>
  <c r="F11" i="23"/>
  <c r="L14" i="23"/>
  <c r="I11" i="23"/>
  <c r="K12" i="23"/>
  <c r="E16" i="23"/>
  <c r="J24" i="23"/>
  <c r="J30" i="23" s="1"/>
  <c r="F27" i="23"/>
  <c r="F28" i="23"/>
  <c r="F29" i="23"/>
  <c r="F30" i="23"/>
  <c r="F31" i="23"/>
  <c r="I14" i="23"/>
  <c r="L12" i="23"/>
  <c r="L11" i="23"/>
  <c r="F14" i="23"/>
  <c r="L28" i="23"/>
  <c r="L29" i="23"/>
  <c r="L31" i="23"/>
  <c r="F12" i="23"/>
  <c r="I8" i="22"/>
  <c r="J8" i="22"/>
  <c r="J9" i="22"/>
  <c r="J8" i="21"/>
  <c r="J9" i="21"/>
  <c r="K16" i="23" l="1"/>
  <c r="M13" i="23"/>
  <c r="N13" i="23" s="1"/>
  <c r="G34" i="23"/>
  <c r="G16" i="23"/>
  <c r="M14" i="23"/>
  <c r="N14" i="23" s="1"/>
  <c r="H35" i="24"/>
  <c r="O28" i="24"/>
  <c r="N11" i="24"/>
  <c r="M17" i="24"/>
  <c r="L16" i="23"/>
  <c r="M34" i="23"/>
  <c r="H16" i="23"/>
  <c r="K34" i="23"/>
  <c r="H32" i="23"/>
  <c r="H30" i="23"/>
  <c r="H28" i="23"/>
  <c r="H31" i="23"/>
  <c r="H27" i="23"/>
  <c r="H29" i="23"/>
  <c r="J31" i="23"/>
  <c r="J29" i="23"/>
  <c r="J16" i="23"/>
  <c r="M12" i="23"/>
  <c r="N12" i="23" s="1"/>
  <c r="I16" i="23"/>
  <c r="J28" i="23"/>
  <c r="F16" i="23"/>
  <c r="J32" i="23"/>
  <c r="L34" i="23"/>
  <c r="M11" i="23"/>
  <c r="I32" i="23"/>
  <c r="I31" i="23"/>
  <c r="I30" i="23"/>
  <c r="I29" i="23"/>
  <c r="I28" i="23"/>
  <c r="I27" i="23"/>
  <c r="J27" i="23"/>
  <c r="F34" i="23"/>
  <c r="E32" i="22"/>
  <c r="N32" i="22" s="1"/>
  <c r="E31" i="22"/>
  <c r="N31" i="22" s="1"/>
  <c r="E30" i="22"/>
  <c r="N30" i="22" s="1"/>
  <c r="E29" i="22"/>
  <c r="N29" i="22" s="1"/>
  <c r="E28" i="22"/>
  <c r="N28" i="22" s="1"/>
  <c r="E27" i="22"/>
  <c r="N27" i="22" s="1"/>
  <c r="J26" i="22"/>
  <c r="I26" i="22"/>
  <c r="H26" i="22"/>
  <c r="F26" i="22"/>
  <c r="L25" i="22"/>
  <c r="J25" i="22"/>
  <c r="I25" i="22"/>
  <c r="H25" i="22"/>
  <c r="G25" i="22"/>
  <c r="F25" i="22"/>
  <c r="F24" i="22"/>
  <c r="E14" i="22"/>
  <c r="K14" i="22" s="1"/>
  <c r="E13" i="22"/>
  <c r="G13" i="22" s="1"/>
  <c r="E12" i="22"/>
  <c r="K12" i="22" s="1"/>
  <c r="E11" i="22"/>
  <c r="L11" i="22" s="1"/>
  <c r="J24" i="22"/>
  <c r="I24" i="22"/>
  <c r="H8" i="22"/>
  <c r="H24" i="22" s="1"/>
  <c r="H32" i="22" l="1"/>
  <c r="J13" i="22"/>
  <c r="G29" i="22"/>
  <c r="K29" i="22"/>
  <c r="O29" i="23"/>
  <c r="P29" i="23" s="1"/>
  <c r="O35" i="24"/>
  <c r="P28" i="24"/>
  <c r="K13" i="22"/>
  <c r="G27" i="22"/>
  <c r="K32" i="22"/>
  <c r="H13" i="22"/>
  <c r="L13" i="22"/>
  <c r="K27" i="22"/>
  <c r="G30" i="22"/>
  <c r="L32" i="22"/>
  <c r="K30" i="22"/>
  <c r="N34" i="22"/>
  <c r="H11" i="22"/>
  <c r="G28" i="22"/>
  <c r="J34" i="23"/>
  <c r="G32" i="22"/>
  <c r="K28" i="22"/>
  <c r="G31" i="22"/>
  <c r="K31" i="22"/>
  <c r="I34" i="23"/>
  <c r="O31" i="23"/>
  <c r="P31" i="23" s="1"/>
  <c r="O28" i="23"/>
  <c r="P28" i="23" s="1"/>
  <c r="O30" i="23"/>
  <c r="P30" i="23" s="1"/>
  <c r="O27" i="23"/>
  <c r="H34" i="23"/>
  <c r="P27" i="23"/>
  <c r="M16" i="23"/>
  <c r="N11" i="23"/>
  <c r="O32" i="23"/>
  <c r="P32" i="23" s="1"/>
  <c r="L14" i="22"/>
  <c r="F13" i="22"/>
  <c r="E16" i="22"/>
  <c r="G11" i="22"/>
  <c r="H12" i="22"/>
  <c r="L12" i="22"/>
  <c r="J11" i="22"/>
  <c r="F11" i="22"/>
  <c r="K11" i="22"/>
  <c r="H14" i="22"/>
  <c r="I12" i="22"/>
  <c r="I14" i="22"/>
  <c r="H27" i="22"/>
  <c r="L27" i="22"/>
  <c r="H28" i="22"/>
  <c r="L28" i="22"/>
  <c r="H29" i="22"/>
  <c r="L29" i="22"/>
  <c r="H30" i="22"/>
  <c r="L30" i="22"/>
  <c r="H31" i="22"/>
  <c r="L31" i="22"/>
  <c r="F12" i="22"/>
  <c r="J12" i="22"/>
  <c r="F14" i="22"/>
  <c r="J14" i="22"/>
  <c r="I27" i="22"/>
  <c r="M27" i="22"/>
  <c r="I28" i="22"/>
  <c r="M28" i="22"/>
  <c r="I29" i="22"/>
  <c r="M29" i="22"/>
  <c r="I30" i="22"/>
  <c r="M30" i="22"/>
  <c r="I31" i="22"/>
  <c r="M31" i="22"/>
  <c r="I32" i="22"/>
  <c r="M32" i="22"/>
  <c r="E34" i="22"/>
  <c r="I11" i="22"/>
  <c r="G12" i="22"/>
  <c r="I13" i="22"/>
  <c r="G14" i="22"/>
  <c r="F27" i="22"/>
  <c r="J27" i="22"/>
  <c r="F28" i="22"/>
  <c r="J28" i="22"/>
  <c r="F29" i="22"/>
  <c r="J29" i="22"/>
  <c r="F30" i="22"/>
  <c r="J30" i="22"/>
  <c r="F31" i="22"/>
  <c r="J31" i="22"/>
  <c r="F32" i="22"/>
  <c r="J32" i="22"/>
  <c r="I8" i="21"/>
  <c r="I24" i="21" s="1"/>
  <c r="H8" i="21"/>
  <c r="H24" i="21" s="1"/>
  <c r="F24" i="21"/>
  <c r="J25" i="21"/>
  <c r="E32" i="21"/>
  <c r="E31" i="21"/>
  <c r="E30" i="21"/>
  <c r="E29" i="21"/>
  <c r="E28" i="21"/>
  <c r="E27" i="21"/>
  <c r="J26" i="21"/>
  <c r="I26" i="21"/>
  <c r="H26" i="21"/>
  <c r="F26" i="21"/>
  <c r="L25" i="21"/>
  <c r="I25" i="21"/>
  <c r="H25" i="21"/>
  <c r="G25" i="21"/>
  <c r="F25" i="21"/>
  <c r="J24" i="21"/>
  <c r="E14" i="21"/>
  <c r="L14" i="21" s="1"/>
  <c r="E13" i="21"/>
  <c r="L13" i="21" s="1"/>
  <c r="E12" i="21"/>
  <c r="E11" i="21"/>
  <c r="M13" i="22" l="1"/>
  <c r="N13" i="22" s="1"/>
  <c r="L16" i="22"/>
  <c r="F14" i="21"/>
  <c r="K14" i="21"/>
  <c r="G14" i="21"/>
  <c r="K34" i="22"/>
  <c r="K16" i="22"/>
  <c r="I31" i="21"/>
  <c r="G34" i="22"/>
  <c r="O34" i="23"/>
  <c r="H16" i="22"/>
  <c r="G16" i="22"/>
  <c r="M11" i="22"/>
  <c r="N11" i="22" s="1"/>
  <c r="F16" i="22"/>
  <c r="O32" i="22"/>
  <c r="P32" i="22" s="1"/>
  <c r="O30" i="22"/>
  <c r="P30" i="22" s="1"/>
  <c r="O28" i="22"/>
  <c r="P28" i="22" s="1"/>
  <c r="J34" i="22"/>
  <c r="M14" i="22"/>
  <c r="N14" i="22" s="1"/>
  <c r="O29" i="22"/>
  <c r="P29" i="22" s="1"/>
  <c r="I16" i="22"/>
  <c r="M34" i="22"/>
  <c r="J16" i="22"/>
  <c r="I34" i="22"/>
  <c r="L34" i="22"/>
  <c r="M12" i="22"/>
  <c r="N12" i="22" s="1"/>
  <c r="O31" i="22"/>
  <c r="P31" i="22" s="1"/>
  <c r="F34" i="22"/>
  <c r="O27" i="22"/>
  <c r="H34" i="22"/>
  <c r="J11" i="21"/>
  <c r="J12" i="21"/>
  <c r="H13" i="21"/>
  <c r="H12" i="21"/>
  <c r="L12" i="21"/>
  <c r="H11" i="21"/>
  <c r="L11" i="21"/>
  <c r="J13" i="21"/>
  <c r="J14" i="21"/>
  <c r="M28" i="21"/>
  <c r="I29" i="21"/>
  <c r="M31" i="21"/>
  <c r="I32" i="21"/>
  <c r="M32" i="21"/>
  <c r="E34" i="21"/>
  <c r="I11" i="21"/>
  <c r="J27" i="21"/>
  <c r="J28" i="21"/>
  <c r="F29" i="21"/>
  <c r="N29" i="21"/>
  <c r="F30" i="21"/>
  <c r="N30" i="21"/>
  <c r="J31" i="21"/>
  <c r="N31" i="21"/>
  <c r="N32" i="21"/>
  <c r="G11" i="21"/>
  <c r="K11" i="21"/>
  <c r="G12" i="21"/>
  <c r="K12" i="21"/>
  <c r="G13" i="21"/>
  <c r="K13" i="21"/>
  <c r="I14" i="21"/>
  <c r="H27" i="21"/>
  <c r="L27" i="21"/>
  <c r="H28" i="21"/>
  <c r="L28" i="21"/>
  <c r="H29" i="21"/>
  <c r="L29" i="21"/>
  <c r="H30" i="21"/>
  <c r="L30" i="21"/>
  <c r="H31" i="21"/>
  <c r="L31" i="21"/>
  <c r="H32" i="21"/>
  <c r="L32" i="21"/>
  <c r="I27" i="21"/>
  <c r="M27" i="21"/>
  <c r="I28" i="21"/>
  <c r="M29" i="21"/>
  <c r="I30" i="21"/>
  <c r="M30" i="21"/>
  <c r="I12" i="21"/>
  <c r="I13" i="21"/>
  <c r="E16" i="21"/>
  <c r="F27" i="21"/>
  <c r="N27" i="21"/>
  <c r="F28" i="21"/>
  <c r="N28" i="21"/>
  <c r="J29" i="21"/>
  <c r="J30" i="21"/>
  <c r="F31" i="21"/>
  <c r="F32" i="21"/>
  <c r="J32" i="21"/>
  <c r="F11" i="21"/>
  <c r="F12" i="21"/>
  <c r="F13" i="21"/>
  <c r="H14" i="21"/>
  <c r="G27" i="21"/>
  <c r="K27" i="21"/>
  <c r="G28" i="21"/>
  <c r="K28" i="21"/>
  <c r="G29" i="21"/>
  <c r="K29" i="21"/>
  <c r="G30" i="21"/>
  <c r="K30" i="21"/>
  <c r="G31" i="21"/>
  <c r="K31" i="21"/>
  <c r="G32" i="21"/>
  <c r="K32" i="21"/>
  <c r="J8" i="20"/>
  <c r="J24" i="20" s="1"/>
  <c r="J9" i="20"/>
  <c r="J25" i="20" s="1"/>
  <c r="E32" i="20"/>
  <c r="N32" i="20" s="1"/>
  <c r="E31" i="20"/>
  <c r="N31" i="20" s="1"/>
  <c r="E30" i="20"/>
  <c r="N30" i="20" s="1"/>
  <c r="E29" i="20"/>
  <c r="N29" i="20" s="1"/>
  <c r="E28" i="20"/>
  <c r="N28" i="20" s="1"/>
  <c r="E27" i="20"/>
  <c r="N27" i="20" s="1"/>
  <c r="J26" i="20"/>
  <c r="I26" i="20"/>
  <c r="H26" i="20"/>
  <c r="F26" i="20"/>
  <c r="L25" i="20"/>
  <c r="I25" i="20"/>
  <c r="H25" i="20"/>
  <c r="G25" i="20"/>
  <c r="F25" i="20"/>
  <c r="H24" i="20"/>
  <c r="F24" i="20"/>
  <c r="E14" i="20"/>
  <c r="K14" i="20" s="1"/>
  <c r="E13" i="20"/>
  <c r="K13" i="20" s="1"/>
  <c r="E12" i="20"/>
  <c r="K12" i="20" s="1"/>
  <c r="E11" i="20"/>
  <c r="I8" i="20"/>
  <c r="I24" i="20" s="1"/>
  <c r="K28" i="20" l="1"/>
  <c r="G29" i="20"/>
  <c r="K32" i="20"/>
  <c r="K29" i="20"/>
  <c r="L16" i="21"/>
  <c r="M16" i="22"/>
  <c r="J16" i="21"/>
  <c r="P27" i="22"/>
  <c r="O34" i="22"/>
  <c r="J11" i="20"/>
  <c r="M13" i="21"/>
  <c r="N13" i="21" s="1"/>
  <c r="H16" i="21"/>
  <c r="M11" i="21"/>
  <c r="N11" i="21" s="1"/>
  <c r="O30" i="21"/>
  <c r="P30" i="21" s="1"/>
  <c r="M12" i="21"/>
  <c r="N12" i="21" s="1"/>
  <c r="O31" i="21"/>
  <c r="P31" i="21" s="1"/>
  <c r="O28" i="21"/>
  <c r="P28" i="21" s="1"/>
  <c r="O29" i="21"/>
  <c r="P29" i="21" s="1"/>
  <c r="O32" i="21"/>
  <c r="P32" i="21" s="1"/>
  <c r="F34" i="21"/>
  <c r="M14" i="21"/>
  <c r="N14" i="21" s="1"/>
  <c r="K34" i="21"/>
  <c r="M34" i="21"/>
  <c r="L34" i="21"/>
  <c r="K16" i="21"/>
  <c r="I16" i="21"/>
  <c r="G34" i="21"/>
  <c r="F16" i="21"/>
  <c r="N34" i="21"/>
  <c r="I34" i="21"/>
  <c r="H34" i="21"/>
  <c r="G16" i="21"/>
  <c r="O27" i="21"/>
  <c r="J34" i="21"/>
  <c r="G31" i="20"/>
  <c r="G28" i="20"/>
  <c r="G32" i="20"/>
  <c r="G30" i="20"/>
  <c r="K31" i="20"/>
  <c r="K30" i="20"/>
  <c r="L27" i="20"/>
  <c r="K27" i="20"/>
  <c r="H27" i="20"/>
  <c r="G27" i="20"/>
  <c r="L14" i="20"/>
  <c r="H14" i="20"/>
  <c r="F13" i="20"/>
  <c r="J13" i="20"/>
  <c r="G13" i="20"/>
  <c r="H12" i="20"/>
  <c r="L12" i="20"/>
  <c r="E16" i="20"/>
  <c r="F11" i="20"/>
  <c r="N34" i="20"/>
  <c r="G11" i="20"/>
  <c r="K11" i="20"/>
  <c r="K16" i="20" s="1"/>
  <c r="I12" i="20"/>
  <c r="I14" i="20"/>
  <c r="H28" i="20"/>
  <c r="L28" i="20"/>
  <c r="H29" i="20"/>
  <c r="L29" i="20"/>
  <c r="H30" i="20"/>
  <c r="L30" i="20"/>
  <c r="H31" i="20"/>
  <c r="L31" i="20"/>
  <c r="H32" i="20"/>
  <c r="L32" i="20"/>
  <c r="H11" i="20"/>
  <c r="L11" i="20"/>
  <c r="F12" i="20"/>
  <c r="J12" i="20"/>
  <c r="H13" i="20"/>
  <c r="L13" i="20"/>
  <c r="F14" i="20"/>
  <c r="J14" i="20"/>
  <c r="I27" i="20"/>
  <c r="M27" i="20"/>
  <c r="I28" i="20"/>
  <c r="M28" i="20"/>
  <c r="I29" i="20"/>
  <c r="M29" i="20"/>
  <c r="I30" i="20"/>
  <c r="M30" i="20"/>
  <c r="I31" i="20"/>
  <c r="M31" i="20"/>
  <c r="I32" i="20"/>
  <c r="M32" i="20"/>
  <c r="E34" i="20"/>
  <c r="I11" i="20"/>
  <c r="G12" i="20"/>
  <c r="I13" i="20"/>
  <c r="G14" i="20"/>
  <c r="F27" i="20"/>
  <c r="J27" i="20"/>
  <c r="F28" i="20"/>
  <c r="J28" i="20"/>
  <c r="F29" i="20"/>
  <c r="J29" i="20"/>
  <c r="F30" i="20"/>
  <c r="J30" i="20"/>
  <c r="F31" i="20"/>
  <c r="J31" i="20"/>
  <c r="F32" i="20"/>
  <c r="J32" i="20"/>
  <c r="D11" i="18"/>
  <c r="K34" i="20" l="1"/>
  <c r="O34" i="21"/>
  <c r="P27" i="21"/>
  <c r="M16" i="21"/>
  <c r="L34" i="20"/>
  <c r="G34" i="20"/>
  <c r="H34" i="20"/>
  <c r="M13" i="20"/>
  <c r="N13" i="20" s="1"/>
  <c r="G16" i="20"/>
  <c r="H16" i="20"/>
  <c r="O32" i="20"/>
  <c r="P32" i="20" s="1"/>
  <c r="O30" i="20"/>
  <c r="P30" i="20" s="1"/>
  <c r="O28" i="20"/>
  <c r="P28" i="20" s="1"/>
  <c r="J16" i="20"/>
  <c r="M14" i="20"/>
  <c r="N14" i="20" s="1"/>
  <c r="M12" i="20"/>
  <c r="I34" i="20"/>
  <c r="O31" i="20"/>
  <c r="P31" i="20" s="1"/>
  <c r="O29" i="20"/>
  <c r="P29" i="20" s="1"/>
  <c r="F34" i="20"/>
  <c r="O27" i="20"/>
  <c r="M11" i="20"/>
  <c r="F16" i="20"/>
  <c r="I16" i="20"/>
  <c r="M34" i="20"/>
  <c r="L16" i="20"/>
  <c r="J34" i="20"/>
  <c r="J8" i="19"/>
  <c r="J24" i="19" s="1"/>
  <c r="J9" i="19"/>
  <c r="J25" i="19" s="1"/>
  <c r="E32" i="19"/>
  <c r="N32" i="19" s="1"/>
  <c r="E31" i="19"/>
  <c r="N31" i="19" s="1"/>
  <c r="E30" i="19"/>
  <c r="N30" i="19" s="1"/>
  <c r="E29" i="19"/>
  <c r="N29" i="19" s="1"/>
  <c r="E28" i="19"/>
  <c r="N28" i="19" s="1"/>
  <c r="E27" i="19"/>
  <c r="N27" i="19" s="1"/>
  <c r="J26" i="19"/>
  <c r="I26" i="19"/>
  <c r="H26" i="19"/>
  <c r="F26" i="19"/>
  <c r="L25" i="19"/>
  <c r="I25" i="19"/>
  <c r="H25" i="19"/>
  <c r="G25" i="19"/>
  <c r="F25" i="19"/>
  <c r="H24" i="19"/>
  <c r="F24" i="19"/>
  <c r="E14" i="19"/>
  <c r="L14" i="19" s="1"/>
  <c r="E13" i="19"/>
  <c r="E12" i="19"/>
  <c r="L12" i="19" s="1"/>
  <c r="E11" i="19"/>
  <c r="I8" i="19"/>
  <c r="I24" i="19" s="1"/>
  <c r="J13" i="19" l="1"/>
  <c r="N12" i="20"/>
  <c r="O12" i="20"/>
  <c r="P12" i="20" s="1"/>
  <c r="N11" i="20"/>
  <c r="O11" i="20"/>
  <c r="P11" i="20" s="1"/>
  <c r="M16" i="20"/>
  <c r="P27" i="20"/>
  <c r="O34" i="20"/>
  <c r="N34" i="19"/>
  <c r="K14" i="19"/>
  <c r="F12" i="19"/>
  <c r="G12" i="19"/>
  <c r="F14" i="19"/>
  <c r="K12" i="19"/>
  <c r="G14" i="19"/>
  <c r="F32" i="19"/>
  <c r="J11" i="19"/>
  <c r="F28" i="19"/>
  <c r="F27" i="19"/>
  <c r="F31" i="19"/>
  <c r="F30" i="19"/>
  <c r="F29" i="19"/>
  <c r="J30" i="19"/>
  <c r="J29" i="19"/>
  <c r="J27" i="19"/>
  <c r="J32" i="19"/>
  <c r="J31" i="19"/>
  <c r="J28" i="19"/>
  <c r="I11" i="19"/>
  <c r="E16" i="19"/>
  <c r="G11" i="19"/>
  <c r="K11" i="19"/>
  <c r="I12" i="19"/>
  <c r="G13" i="19"/>
  <c r="K13" i="19"/>
  <c r="I14" i="19"/>
  <c r="H27" i="19"/>
  <c r="L27" i="19"/>
  <c r="H28" i="19"/>
  <c r="L28" i="19"/>
  <c r="H29" i="19"/>
  <c r="L29" i="19"/>
  <c r="H30" i="19"/>
  <c r="L30" i="19"/>
  <c r="H31" i="19"/>
  <c r="L31" i="19"/>
  <c r="H32" i="19"/>
  <c r="L32" i="19"/>
  <c r="H11" i="19"/>
  <c r="L11" i="19"/>
  <c r="J12" i="19"/>
  <c r="H13" i="19"/>
  <c r="L13" i="19"/>
  <c r="J14" i="19"/>
  <c r="I27" i="19"/>
  <c r="M27" i="19"/>
  <c r="I28" i="19"/>
  <c r="M28" i="19"/>
  <c r="I29" i="19"/>
  <c r="M29" i="19"/>
  <c r="I30" i="19"/>
  <c r="M30" i="19"/>
  <c r="I31" i="19"/>
  <c r="M31" i="19"/>
  <c r="I32" i="19"/>
  <c r="M32" i="19"/>
  <c r="E34" i="19"/>
  <c r="I13" i="19"/>
  <c r="F11" i="19"/>
  <c r="H12" i="19"/>
  <c r="F13" i="19"/>
  <c r="H14" i="19"/>
  <c r="G27" i="19"/>
  <c r="K27" i="19"/>
  <c r="G28" i="19"/>
  <c r="K28" i="19"/>
  <c r="G29" i="19"/>
  <c r="K29" i="19"/>
  <c r="G30" i="19"/>
  <c r="K30" i="19"/>
  <c r="G31" i="19"/>
  <c r="K31" i="19"/>
  <c r="G32" i="19"/>
  <c r="K32" i="19"/>
  <c r="I8" i="18"/>
  <c r="L16" i="19" l="1"/>
  <c r="K16" i="19"/>
  <c r="J16" i="19"/>
  <c r="F34" i="19"/>
  <c r="M13" i="19"/>
  <c r="N13" i="19" s="1"/>
  <c r="O30" i="19"/>
  <c r="P30" i="19" s="1"/>
  <c r="O32" i="19"/>
  <c r="P32" i="19" s="1"/>
  <c r="M14" i="19"/>
  <c r="N14" i="19" s="1"/>
  <c r="M12" i="19"/>
  <c r="N12" i="19" s="1"/>
  <c r="J34" i="19"/>
  <c r="O28" i="19"/>
  <c r="P28" i="19" s="1"/>
  <c r="O29" i="19"/>
  <c r="P29" i="19" s="1"/>
  <c r="O31" i="19"/>
  <c r="P31" i="19" s="1"/>
  <c r="F16" i="19"/>
  <c r="O27" i="19"/>
  <c r="K34" i="19"/>
  <c r="I34" i="19"/>
  <c r="H16" i="19"/>
  <c r="H34" i="19"/>
  <c r="G16" i="19"/>
  <c r="M11" i="19"/>
  <c r="M34" i="19"/>
  <c r="I16" i="19"/>
  <c r="G34" i="19"/>
  <c r="L34" i="19"/>
  <c r="E11" i="18"/>
  <c r="F11" i="18" s="1"/>
  <c r="O34" i="19" l="1"/>
  <c r="P27" i="19"/>
  <c r="N11" i="19"/>
  <c r="M16" i="19"/>
  <c r="J8" i="18"/>
  <c r="J24" i="18" s="1"/>
  <c r="J9" i="18"/>
  <c r="J25" i="18" s="1"/>
  <c r="E32" i="18"/>
  <c r="E31" i="18"/>
  <c r="E30" i="18"/>
  <c r="E29" i="18"/>
  <c r="E28" i="18"/>
  <c r="E27" i="18"/>
  <c r="J26" i="18"/>
  <c r="I26" i="18"/>
  <c r="H26" i="18"/>
  <c r="F26" i="18"/>
  <c r="L25" i="18"/>
  <c r="I25" i="18"/>
  <c r="H25" i="18"/>
  <c r="G25" i="18"/>
  <c r="F25" i="18"/>
  <c r="I24" i="18"/>
  <c r="H24" i="18"/>
  <c r="F24" i="18"/>
  <c r="E14" i="18"/>
  <c r="E13" i="18"/>
  <c r="F13" i="18" s="1"/>
  <c r="E12" i="18"/>
  <c r="F12" i="18" s="1"/>
  <c r="L11" i="18"/>
  <c r="K11" i="18"/>
  <c r="H11" i="18"/>
  <c r="G11" i="18"/>
  <c r="I12" i="18" l="1"/>
  <c r="F32" i="18"/>
  <c r="G13" i="18"/>
  <c r="K13" i="18"/>
  <c r="H14" i="18"/>
  <c r="F14" i="18"/>
  <c r="I14" i="18"/>
  <c r="L32" i="18"/>
  <c r="M30" i="18"/>
  <c r="F30" i="18"/>
  <c r="H13" i="18"/>
  <c r="F27" i="18"/>
  <c r="F31" i="18"/>
  <c r="L28" i="18"/>
  <c r="F28" i="18"/>
  <c r="L13" i="18"/>
  <c r="L29" i="18"/>
  <c r="F29" i="18"/>
  <c r="I30" i="18"/>
  <c r="L27" i="18"/>
  <c r="H32" i="18"/>
  <c r="H27" i="18"/>
  <c r="H28" i="18"/>
  <c r="H29" i="18"/>
  <c r="H30" i="18"/>
  <c r="J13" i="18"/>
  <c r="J11" i="18"/>
  <c r="J12" i="18"/>
  <c r="L14" i="18"/>
  <c r="K14" i="18"/>
  <c r="G14" i="18"/>
  <c r="J14" i="18"/>
  <c r="L30" i="18"/>
  <c r="H31" i="18"/>
  <c r="L12" i="18"/>
  <c r="H12" i="18"/>
  <c r="K12" i="18"/>
  <c r="G12" i="18"/>
  <c r="L31" i="18"/>
  <c r="I27" i="18"/>
  <c r="M27" i="18"/>
  <c r="I28" i="18"/>
  <c r="M28" i="18"/>
  <c r="I29" i="18"/>
  <c r="M29" i="18"/>
  <c r="I31" i="18"/>
  <c r="M31" i="18"/>
  <c r="I32" i="18"/>
  <c r="M32" i="18"/>
  <c r="E34" i="18"/>
  <c r="I11" i="18"/>
  <c r="I13" i="18"/>
  <c r="E16" i="18"/>
  <c r="J27" i="18"/>
  <c r="N27" i="18"/>
  <c r="J28" i="18"/>
  <c r="N28" i="18"/>
  <c r="J29" i="18"/>
  <c r="N29" i="18"/>
  <c r="J30" i="18"/>
  <c r="N30" i="18"/>
  <c r="J31" i="18"/>
  <c r="N31" i="18"/>
  <c r="J32" i="18"/>
  <c r="N32" i="18"/>
  <c r="G27" i="18"/>
  <c r="K27" i="18"/>
  <c r="G28" i="18"/>
  <c r="K28" i="18"/>
  <c r="G29" i="18"/>
  <c r="K29" i="18"/>
  <c r="G30" i="18"/>
  <c r="K30" i="18"/>
  <c r="G31" i="18"/>
  <c r="K31" i="18"/>
  <c r="G32" i="18"/>
  <c r="K32" i="18"/>
  <c r="E14" i="16"/>
  <c r="E13" i="16"/>
  <c r="E12" i="16"/>
  <c r="E11" i="16"/>
  <c r="G16" i="18" l="1"/>
  <c r="K16" i="18"/>
  <c r="H16" i="18"/>
  <c r="L16" i="18"/>
  <c r="L34" i="18"/>
  <c r="H34" i="18"/>
  <c r="O29" i="18"/>
  <c r="P29" i="18" s="1"/>
  <c r="J16" i="18"/>
  <c r="O31" i="18"/>
  <c r="P31" i="18" s="1"/>
  <c r="M13" i="18"/>
  <c r="N13" i="18" s="1"/>
  <c r="O32" i="18"/>
  <c r="P32" i="18" s="1"/>
  <c r="O30" i="18"/>
  <c r="P30" i="18" s="1"/>
  <c r="O28" i="18"/>
  <c r="P28" i="18" s="1"/>
  <c r="F16" i="18"/>
  <c r="N34" i="18"/>
  <c r="M14" i="18"/>
  <c r="N14" i="18" s="1"/>
  <c r="K34" i="18"/>
  <c r="J34" i="18"/>
  <c r="M34" i="18"/>
  <c r="M12" i="18"/>
  <c r="N12" i="18" s="1"/>
  <c r="G34" i="18"/>
  <c r="F34" i="18"/>
  <c r="M11" i="18"/>
  <c r="I34" i="18"/>
  <c r="I16" i="18"/>
  <c r="O27" i="18"/>
  <c r="E28" i="16"/>
  <c r="E29" i="16"/>
  <c r="E30" i="16"/>
  <c r="E31" i="16"/>
  <c r="E32" i="16"/>
  <c r="E27" i="16"/>
  <c r="N11" i="18" l="1"/>
  <c r="M16" i="18"/>
  <c r="O34" i="18"/>
  <c r="P27" i="18"/>
  <c r="E9" i="17"/>
  <c r="E10" i="17" l="1"/>
  <c r="C10" i="17"/>
  <c r="D10" i="17" s="1"/>
  <c r="J8" i="16"/>
  <c r="J24" i="16" s="1"/>
  <c r="J9" i="16"/>
  <c r="J25" i="16" s="1"/>
  <c r="C18" i="17"/>
  <c r="D17" i="17"/>
  <c r="D15" i="17"/>
  <c r="D9" i="17"/>
  <c r="D8" i="17"/>
  <c r="D7" i="17"/>
  <c r="D6" i="17"/>
  <c r="M28" i="16"/>
  <c r="J26" i="16"/>
  <c r="I26" i="16"/>
  <c r="H26" i="16"/>
  <c r="F26" i="16"/>
  <c r="L25" i="16"/>
  <c r="L32" i="16" s="1"/>
  <c r="I25" i="16"/>
  <c r="H25" i="16"/>
  <c r="G25" i="16"/>
  <c r="F25" i="16"/>
  <c r="I24" i="16"/>
  <c r="H24" i="16"/>
  <c r="F24" i="16"/>
  <c r="L14" i="16"/>
  <c r="L13" i="16"/>
  <c r="K13" i="16"/>
  <c r="H13" i="16"/>
  <c r="G13" i="16"/>
  <c r="L12" i="16"/>
  <c r="L11" i="16"/>
  <c r="K11" i="16"/>
  <c r="H11" i="16"/>
  <c r="G11" i="16"/>
  <c r="J13" i="16" l="1"/>
  <c r="H32" i="16"/>
  <c r="C11" i="17"/>
  <c r="D11" i="17" s="1"/>
  <c r="D18" i="17"/>
  <c r="I28" i="16"/>
  <c r="J11" i="16"/>
  <c r="L16" i="16"/>
  <c r="I12" i="16"/>
  <c r="I14" i="16"/>
  <c r="H27" i="16"/>
  <c r="L27" i="16"/>
  <c r="H28" i="16"/>
  <c r="L28" i="16"/>
  <c r="H29" i="16"/>
  <c r="L29" i="16"/>
  <c r="H30" i="16"/>
  <c r="L30" i="16"/>
  <c r="H31" i="16"/>
  <c r="L31" i="16"/>
  <c r="F12" i="16"/>
  <c r="J12" i="16"/>
  <c r="F14" i="16"/>
  <c r="J14" i="16"/>
  <c r="I27" i="16"/>
  <c r="M27" i="16"/>
  <c r="I29" i="16"/>
  <c r="M29" i="16"/>
  <c r="I30" i="16"/>
  <c r="M30" i="16"/>
  <c r="I31" i="16"/>
  <c r="M31" i="16"/>
  <c r="I32" i="16"/>
  <c r="M32" i="16"/>
  <c r="E34" i="16"/>
  <c r="I11" i="16"/>
  <c r="G12" i="16"/>
  <c r="K12" i="16"/>
  <c r="I13" i="16"/>
  <c r="G14" i="16"/>
  <c r="K14" i="16"/>
  <c r="E16" i="16"/>
  <c r="F27" i="16"/>
  <c r="J27" i="16"/>
  <c r="N27" i="16"/>
  <c r="F28" i="16"/>
  <c r="J28" i="16"/>
  <c r="N28" i="16"/>
  <c r="F29" i="16"/>
  <c r="J29" i="16"/>
  <c r="N29" i="16"/>
  <c r="F30" i="16"/>
  <c r="J30" i="16"/>
  <c r="N30" i="16"/>
  <c r="F31" i="16"/>
  <c r="J31" i="16"/>
  <c r="N31" i="16"/>
  <c r="F32" i="16"/>
  <c r="J32" i="16"/>
  <c r="N32" i="16"/>
  <c r="F11" i="16"/>
  <c r="H12" i="16"/>
  <c r="F13" i="16"/>
  <c r="M13" i="16" s="1"/>
  <c r="N13" i="16" s="1"/>
  <c r="H14" i="16"/>
  <c r="G27" i="16"/>
  <c r="K27" i="16"/>
  <c r="G28" i="16"/>
  <c r="K28" i="16"/>
  <c r="G29" i="16"/>
  <c r="K29" i="16"/>
  <c r="G30" i="16"/>
  <c r="K30" i="16"/>
  <c r="G31" i="16"/>
  <c r="K31" i="16"/>
  <c r="G32" i="16"/>
  <c r="K32" i="16"/>
  <c r="B30" i="15"/>
  <c r="B28" i="15"/>
  <c r="B27" i="15"/>
  <c r="B29" i="15"/>
  <c r="H29" i="15" s="1"/>
  <c r="C20" i="17" l="1"/>
  <c r="C28" i="17" s="1"/>
  <c r="C30" i="17" s="1"/>
  <c r="D20" i="17"/>
  <c r="D28" i="17" s="1"/>
  <c r="D30" i="17" s="1"/>
  <c r="J29" i="15"/>
  <c r="K29" i="15"/>
  <c r="G16" i="16"/>
  <c r="K16" i="16"/>
  <c r="K34" i="16"/>
  <c r="J16" i="16"/>
  <c r="M12" i="16"/>
  <c r="N12" i="16" s="1"/>
  <c r="O32" i="16"/>
  <c r="P32" i="16" s="1"/>
  <c r="O28" i="16"/>
  <c r="P28" i="16" s="1"/>
  <c r="O29" i="16"/>
  <c r="P29" i="16" s="1"/>
  <c r="O30" i="16"/>
  <c r="P30" i="16" s="1"/>
  <c r="M14" i="16"/>
  <c r="N14" i="16" s="1"/>
  <c r="O31" i="16"/>
  <c r="P31" i="16" s="1"/>
  <c r="I16" i="16"/>
  <c r="L34" i="16"/>
  <c r="G34" i="16"/>
  <c r="N34" i="16"/>
  <c r="H34" i="16"/>
  <c r="H16" i="16"/>
  <c r="F16" i="16"/>
  <c r="J34" i="16"/>
  <c r="M34" i="16"/>
  <c r="F34" i="16"/>
  <c r="M11" i="16"/>
  <c r="I34" i="16"/>
  <c r="O27" i="16"/>
  <c r="J28" i="15"/>
  <c r="H28" i="15"/>
  <c r="K28" i="15"/>
  <c r="N11" i="16" l="1"/>
  <c r="M16" i="16"/>
  <c r="O34" i="16"/>
  <c r="P27" i="16"/>
  <c r="D25" i="15"/>
  <c r="C24" i="15"/>
  <c r="E24" i="15"/>
  <c r="F24" i="15"/>
  <c r="C25" i="15"/>
  <c r="E25" i="15"/>
  <c r="F25" i="15"/>
  <c r="C26" i="15"/>
  <c r="E26" i="15"/>
  <c r="F26" i="15"/>
  <c r="I25" i="15"/>
  <c r="I27" i="15" s="1"/>
  <c r="G26" i="15"/>
  <c r="G25" i="15"/>
  <c r="G24" i="15"/>
  <c r="K27" i="15"/>
  <c r="J30" i="15"/>
  <c r="J27" i="15"/>
  <c r="H27" i="15"/>
  <c r="B32" i="15"/>
  <c r="B31" i="15"/>
  <c r="B14" i="15"/>
  <c r="G14" i="15" s="1"/>
  <c r="B13" i="15"/>
  <c r="G13" i="15" s="1"/>
  <c r="B12" i="15"/>
  <c r="I12" i="15" s="1"/>
  <c r="B11" i="15"/>
  <c r="E9" i="14"/>
  <c r="C18" i="14"/>
  <c r="D17" i="14"/>
  <c r="D10" i="13"/>
  <c r="E10" i="14"/>
  <c r="D7" i="14"/>
  <c r="D8" i="14"/>
  <c r="D9" i="14"/>
  <c r="D6" i="14"/>
  <c r="C10" i="14"/>
  <c r="C11" i="14" s="1"/>
  <c r="D11" i="14" s="1"/>
  <c r="D15" i="14"/>
  <c r="C10" i="13"/>
  <c r="C18" i="13" s="1"/>
  <c r="D14" i="13"/>
  <c r="C26" i="13"/>
  <c r="C28" i="13" s="1"/>
  <c r="D26" i="13"/>
  <c r="D28" i="13" s="1"/>
  <c r="C25" i="12"/>
  <c r="C27" i="12" s="1"/>
  <c r="D25" i="12"/>
  <c r="D27" i="12" s="1"/>
  <c r="D14" i="12"/>
  <c r="D18" i="12"/>
  <c r="C18" i="12"/>
  <c r="B16" i="11"/>
  <c r="B20" i="11" s="1"/>
  <c r="C16" i="11"/>
  <c r="C20" i="11" s="1"/>
  <c r="B27" i="11"/>
  <c r="E27" i="11" s="1"/>
  <c r="B29" i="11"/>
  <c r="D29" i="11" s="1"/>
  <c r="B27" i="10"/>
  <c r="E27" i="10"/>
  <c r="B29" i="10"/>
  <c r="C29" i="10" s="1"/>
  <c r="B16" i="10"/>
  <c r="B20" i="10" s="1"/>
  <c r="C16" i="10"/>
  <c r="C20" i="10" s="1"/>
  <c r="B29" i="9"/>
  <c r="C29" i="9" s="1"/>
  <c r="B27" i="9"/>
  <c r="C27" i="9" s="1"/>
  <c r="B16" i="9"/>
  <c r="B20" i="9" s="1"/>
  <c r="C16" i="9"/>
  <c r="C20" i="9" s="1"/>
  <c r="B29" i="8"/>
  <c r="C29" i="8" s="1"/>
  <c r="B27" i="8"/>
  <c r="C27" i="8" s="1"/>
  <c r="B16" i="8"/>
  <c r="B20" i="8" s="1"/>
  <c r="C16" i="8"/>
  <c r="C20" i="8" s="1"/>
  <c r="C15" i="1"/>
  <c r="C19" i="1" s="1"/>
  <c r="B15" i="1"/>
  <c r="B19" i="1" s="1"/>
  <c r="B15" i="4"/>
  <c r="B19" i="4" s="1"/>
  <c r="B28" i="4"/>
  <c r="C28" i="4" s="1"/>
  <c r="B26" i="4"/>
  <c r="C26" i="4" s="1"/>
  <c r="C15" i="4"/>
  <c r="C19" i="4" s="1"/>
  <c r="B28" i="5"/>
  <c r="C28" i="5" s="1"/>
  <c r="B26" i="5"/>
  <c r="C26" i="5" s="1"/>
  <c r="B15" i="5"/>
  <c r="B19" i="5" s="1"/>
  <c r="C15" i="5"/>
  <c r="C19" i="5" s="1"/>
  <c r="B29" i="6"/>
  <c r="C29" i="6" s="1"/>
  <c r="B27" i="6"/>
  <c r="C27" i="6" s="1"/>
  <c r="B16" i="6"/>
  <c r="B20" i="6" s="1"/>
  <c r="C16" i="6"/>
  <c r="C20" i="6" s="1"/>
  <c r="B29" i="7"/>
  <c r="C29" i="7"/>
  <c r="B27" i="7"/>
  <c r="C27" i="7" s="1"/>
  <c r="B16" i="7"/>
  <c r="B20" i="7" s="1"/>
  <c r="C16" i="7"/>
  <c r="C20" i="7" s="1"/>
  <c r="C27" i="10"/>
  <c r="D27" i="10"/>
  <c r="D18" i="14" l="1"/>
  <c r="D20" i="14" s="1"/>
  <c r="D28" i="14" s="1"/>
  <c r="D30" i="14" s="1"/>
  <c r="G30" i="15"/>
  <c r="C29" i="11"/>
  <c r="C27" i="15"/>
  <c r="F30" i="15"/>
  <c r="E31" i="15"/>
  <c r="D29" i="10"/>
  <c r="C27" i="11"/>
  <c r="D18" i="13"/>
  <c r="H31" i="15"/>
  <c r="I31" i="15"/>
  <c r="E27" i="15"/>
  <c r="G31" i="15"/>
  <c r="D31" i="15"/>
  <c r="D27" i="11"/>
  <c r="J31" i="15"/>
  <c r="C31" i="15"/>
  <c r="C20" i="14"/>
  <c r="C28" i="14" s="1"/>
  <c r="C30" i="14" s="1"/>
  <c r="F27" i="15"/>
  <c r="C32" i="15"/>
  <c r="G32" i="15"/>
  <c r="K32" i="15"/>
  <c r="I28" i="15"/>
  <c r="I29" i="15"/>
  <c r="F29" i="15"/>
  <c r="F28" i="15"/>
  <c r="D32" i="15"/>
  <c r="H32" i="15"/>
  <c r="D10" i="14"/>
  <c r="E29" i="15"/>
  <c r="E28" i="15"/>
  <c r="D29" i="15"/>
  <c r="D28" i="15"/>
  <c r="F31" i="15"/>
  <c r="E32" i="15"/>
  <c r="I32" i="15"/>
  <c r="K31" i="15"/>
  <c r="G28" i="15"/>
  <c r="G29" i="15"/>
  <c r="C28" i="15"/>
  <c r="C29" i="15"/>
  <c r="G27" i="15"/>
  <c r="D27" i="15"/>
  <c r="C30" i="15"/>
  <c r="F32" i="15"/>
  <c r="J32" i="15"/>
  <c r="E30" i="15"/>
  <c r="H30" i="15"/>
  <c r="K30" i="15"/>
  <c r="I30" i="15"/>
  <c r="D30" i="15"/>
  <c r="G11" i="15"/>
  <c r="B34" i="15"/>
  <c r="C14" i="15"/>
  <c r="I14" i="15"/>
  <c r="E11" i="15"/>
  <c r="E13" i="15"/>
  <c r="H11" i="15"/>
  <c r="H13" i="15"/>
  <c r="E14" i="15"/>
  <c r="H14" i="15"/>
  <c r="D14" i="15"/>
  <c r="I11" i="15"/>
  <c r="I13" i="15"/>
  <c r="D11" i="15"/>
  <c r="D13" i="15"/>
  <c r="H12" i="15"/>
  <c r="D12" i="15"/>
  <c r="G12" i="15"/>
  <c r="G16" i="15" s="1"/>
  <c r="C12" i="15"/>
  <c r="B16" i="15"/>
  <c r="E12" i="15"/>
  <c r="F12" i="15"/>
  <c r="F11" i="15"/>
  <c r="F13" i="15"/>
  <c r="C11" i="15"/>
  <c r="C13" i="15"/>
  <c r="F14" i="15"/>
  <c r="L31" i="15" l="1"/>
  <c r="M31" i="15" s="1"/>
  <c r="L27" i="15"/>
  <c r="M27" i="15" s="1"/>
  <c r="L32" i="15"/>
  <c r="M32" i="15" s="1"/>
  <c r="L28" i="15"/>
  <c r="M28" i="15" s="1"/>
  <c r="L29" i="15"/>
  <c r="M29" i="15" s="1"/>
  <c r="L30" i="15"/>
  <c r="M30" i="15" s="1"/>
  <c r="D16" i="15"/>
  <c r="J11" i="15"/>
  <c r="K11" i="15" s="1"/>
  <c r="F16" i="15"/>
  <c r="G34" i="15"/>
  <c r="J34" i="15"/>
  <c r="C16" i="15"/>
  <c r="E16" i="15"/>
  <c r="K34" i="15"/>
  <c r="I16" i="15"/>
  <c r="F34" i="15"/>
  <c r="H34" i="15"/>
  <c r="D34" i="15"/>
  <c r="I34" i="15"/>
  <c r="E34" i="15"/>
  <c r="C34" i="15"/>
  <c r="H16" i="15"/>
  <c r="J14" i="15"/>
  <c r="K14" i="15" s="1"/>
  <c r="J13" i="15"/>
  <c r="K13" i="15" s="1"/>
  <c r="J12" i="15"/>
  <c r="K12" i="15" s="1"/>
  <c r="L34" i="15" l="1"/>
  <c r="J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Longpré Louise</author>
  </authors>
  <commentList>
    <comment ref="C10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Longpré Louise:</t>
        </r>
        <r>
          <rPr>
            <sz val="8"/>
            <color indexed="81"/>
            <rFont val="Tahoma"/>
            <family val="2"/>
          </rPr>
          <t xml:space="preserve">
Taux validé sur internet.  Réduit pour tenir compte du régime d'ass sal de l'ICM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13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13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6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6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L9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M9" authorId="0" shapeId="0" xr:uid="{00000000-0006-0000-16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L26" authorId="0" shapeId="0" xr:uid="{00000000-0006-0000-16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M26" authorId="0" shapeId="0" xr:uid="{00000000-0006-0000-16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L9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M9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L26" authorId="0" shapeId="0" xr:uid="{00000000-0006-0000-17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M26" authorId="0" shapeId="0" xr:uid="{00000000-0006-0000-17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  <author>Longpré Louise</author>
  </authors>
  <commentList>
    <comment ref="C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Taux donné par Debby Tiburcio le 22-05-2014</t>
        </r>
      </text>
    </comment>
    <comment ref="C10" authorId="1" shapeId="0" xr:uid="{00000000-0006-0000-0B00-000002000000}">
      <text>
        <r>
          <rPr>
            <b/>
            <sz val="8"/>
            <color indexed="81"/>
            <rFont val="Tahoma"/>
            <family val="2"/>
          </rPr>
          <t>Longpré Louise:</t>
        </r>
        <r>
          <rPr>
            <sz val="8"/>
            <color indexed="81"/>
            <rFont val="Tahoma"/>
            <family val="2"/>
          </rPr>
          <t xml:space="preserve">
Taux validé sur internet.  Réduit pour tenir compte du régime d'ass sal de l'ICM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  <author>Longpré Louise</author>
  </authors>
  <commentList>
    <comment ref="C7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Taux de 4,26% donné par Debby Tiburcio dans son courriel du 2 février 2015.</t>
        </r>
      </text>
    </comment>
    <comment ref="C9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Taux de 2,13% donné par Debby Tiburcio dans son courriel du 22 janvier 2015.</t>
        </r>
      </text>
    </comment>
    <comment ref="C10" authorId="1" shapeId="0" xr:uid="{00000000-0006-0000-0C00-000003000000}">
      <text>
        <r>
          <rPr>
            <b/>
            <sz val="8"/>
            <color indexed="81"/>
            <rFont val="Tahoma"/>
            <family val="2"/>
          </rPr>
          <t>Longpré Louise:</t>
        </r>
        <r>
          <rPr>
            <sz val="8"/>
            <color indexed="81"/>
            <rFont val="Tahoma"/>
            <family val="2"/>
          </rPr>
          <t xml:space="preserve">
Taux validé sur internet.  Réduit pour tenir compte du régime d'ass sal de l'ICM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H9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I9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H25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I25" authorId="0" shapeId="0" xr:uid="{00000000-0006-0000-0D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0E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0F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0F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10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11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11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 Julie</author>
  </authors>
  <commentList>
    <comment ref="K9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9" authorId="0" shapeId="0" xr:uid="{00000000-0006-0000-1200-000002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  <comment ref="K25" authorId="0" shapeId="0" xr:uid="{00000000-0006-0000-1200-000003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Nous faison l'hypothèse que les gens prendrons la moitié de leur maladie, ce qui représente 2% (4% divisé par 2)</t>
        </r>
      </text>
    </comment>
    <comment ref="L25" authorId="0" shapeId="0" xr:uid="{00000000-0006-0000-1200-000004000000}">
      <text>
        <r>
          <rPr>
            <b/>
            <sz val="8"/>
            <color indexed="81"/>
            <rFont val="Tahoma"/>
            <family val="2"/>
          </rPr>
          <t>Rodrigue Julie:</t>
        </r>
        <r>
          <rPr>
            <sz val="8"/>
            <color indexed="81"/>
            <rFont val="Tahoma"/>
            <family val="2"/>
          </rPr>
          <t xml:space="preserve">
Charge attribué par le CDR que l'on retrouve sous la nature 993.</t>
        </r>
      </text>
    </comment>
  </commentList>
</comments>
</file>

<file path=xl/sharedStrings.xml><?xml version="1.0" encoding="utf-8"?>
<sst xmlns="http://schemas.openxmlformats.org/spreadsheetml/2006/main" count="904" uniqueCount="114">
  <si>
    <t>Charges sociales 2003</t>
  </si>
  <si>
    <t>généraux</t>
  </si>
  <si>
    <t>cadres</t>
  </si>
  <si>
    <t>R.R.Q.</t>
  </si>
  <si>
    <t>F.S.S.</t>
  </si>
  <si>
    <t>CSST</t>
  </si>
  <si>
    <t>A.Emploi</t>
  </si>
  <si>
    <t>Vacances</t>
  </si>
  <si>
    <t>t.complet</t>
  </si>
  <si>
    <t>bén. Marg.</t>
  </si>
  <si>
    <t>t.partiel</t>
  </si>
  <si>
    <t>Charges sociales 2004</t>
  </si>
  <si>
    <t>Salaire par jour</t>
  </si>
  <si>
    <t>Taux horaire</t>
  </si>
  <si>
    <t>Temps complet</t>
  </si>
  <si>
    <t>Temps partiels</t>
  </si>
  <si>
    <t>Charges sociales 2005</t>
  </si>
  <si>
    <t>Charges sociales 2006</t>
  </si>
  <si>
    <t>EE</t>
  </si>
  <si>
    <t>ER</t>
  </si>
  <si>
    <t>RQAP</t>
  </si>
  <si>
    <t>Charges sociales 2007</t>
  </si>
  <si>
    <t>Charges sociales 2008</t>
  </si>
  <si>
    <t>Salaire par semaine</t>
  </si>
  <si>
    <t>Charges sociales 2009</t>
  </si>
  <si>
    <t>maximum</t>
  </si>
  <si>
    <t>Charges sociales 2010</t>
  </si>
  <si>
    <t>Charges sociales 2011</t>
  </si>
  <si>
    <t>Bén. Marg. (fériés + maladies)</t>
  </si>
  <si>
    <t>Charges sociales 2012 employeur</t>
  </si>
  <si>
    <t>Temps partiel</t>
  </si>
  <si>
    <t>Charges sociales:</t>
  </si>
  <si>
    <t>Assurance emploi</t>
  </si>
  <si>
    <t>Bénéfices marginaux:</t>
  </si>
  <si>
    <t>Note 1</t>
  </si>
  <si>
    <t>Fériés</t>
  </si>
  <si>
    <t>Maladies</t>
  </si>
  <si>
    <t>Note 2</t>
  </si>
  <si>
    <t>Charges maladies maternité par CDR</t>
  </si>
  <si>
    <t>Total</t>
  </si>
  <si>
    <t>Exemple:</t>
  </si>
  <si>
    <t>Charges sociales</t>
  </si>
  <si>
    <t>Total salaire et charges</t>
  </si>
  <si>
    <t>Notes:</t>
  </si>
  <si>
    <r>
      <t xml:space="preserve">Les vacances et les fériés sont inclus dans le </t>
    </r>
    <r>
      <rPr>
        <b/>
        <sz val="10"/>
        <rFont val="Arial"/>
        <family val="2"/>
      </rPr>
      <t>salaire à temps plein.</t>
    </r>
  </si>
  <si>
    <r>
      <t xml:space="preserve">Les vacances et les fériés doivent être ajouté au </t>
    </r>
    <r>
      <rPr>
        <b/>
        <sz val="10"/>
        <rFont val="Arial"/>
        <family val="2"/>
      </rPr>
      <t>salaire à temps partiel.</t>
    </r>
  </si>
  <si>
    <t>Nous faisons l'hypothèse qu'aucune journée de maladie n'est payé durant l'année et</t>
  </si>
  <si>
    <t>qu'elles seront toutes payées au 15 décembre, ce qui porte le taux maximum de 4%</t>
  </si>
  <si>
    <t>À des fins budgétaires, je suggère d'utiliser 2% et non 4% pour être plus réaliste.</t>
  </si>
  <si>
    <t>Charges sociales 2013 employeur</t>
  </si>
  <si>
    <t>Contribution employeur</t>
  </si>
  <si>
    <t>Total charge sociale</t>
  </si>
  <si>
    <t>Charges sociales 2014 employeur</t>
  </si>
  <si>
    <t>Rémunération assurable</t>
  </si>
  <si>
    <t>Charges sociales 2015 employeur</t>
  </si>
  <si>
    <t>Calcul des charges sociales  2014</t>
  </si>
  <si>
    <t>MAJ le 22-05-2014</t>
  </si>
  <si>
    <t>Calcul pour les employés à temps complet</t>
  </si>
  <si>
    <t>Taux 
Horraire</t>
  </si>
  <si>
    <t>Projection Sal</t>
  </si>
  <si>
    <t>RRQ</t>
  </si>
  <si>
    <t>FSS</t>
  </si>
  <si>
    <t>AE</t>
  </si>
  <si>
    <t>Banque de maladie</t>
  </si>
  <si>
    <t>CDR - charges pour maladies et maternité</t>
  </si>
  <si>
    <t>Total
Salaires</t>
  </si>
  <si>
    <t>Maximum</t>
  </si>
  <si>
    <t>Aucun max.</t>
  </si>
  <si>
    <t>9,6 jours</t>
  </si>
  <si>
    <t>par année</t>
  </si>
  <si>
    <t>TOTAL</t>
  </si>
  <si>
    <t>Nous avons fait l'hypothèse que les employés vont prendre seulement la moitié de la banque de maladie, c'est pourquoi nous avons mis seulement 2% et non pas 4%.</t>
  </si>
  <si>
    <t>Calcul pour les employés à temps partiel</t>
  </si>
  <si>
    <t>Congés Fériés</t>
  </si>
  <si>
    <t>Calcul des charges sociales  2015</t>
  </si>
  <si>
    <t>MAJ le 02-02-2015</t>
  </si>
  <si>
    <t>Nom de l'employé</t>
  </si>
  <si>
    <t>Taux 
Horaire</t>
  </si>
  <si>
    <t>Nombre d'heures par semaine</t>
  </si>
  <si>
    <t>Nombre de semaines</t>
  </si>
  <si>
    <t>Inscrire</t>
  </si>
  <si>
    <t>le taux</t>
  </si>
  <si>
    <t>horaire</t>
  </si>
  <si>
    <t>Calcul des charges sociales  2016</t>
  </si>
  <si>
    <t>MAJ le 01-07-2016</t>
  </si>
  <si>
    <t>RRQ
(Note 1)</t>
  </si>
  <si>
    <t>Note 1:  Pour le RRQ il y a une exemption de 3,500$.  Il faut donc s'assurer que le salaire utilisé pour les calcul est supérieur à 3,500$ car sinon le montant de cotisation de RRQ sera négatif.</t>
  </si>
  <si>
    <t>Calcul des charges sociales  2017</t>
  </si>
  <si>
    <t>MAJ le 28-02-2017</t>
  </si>
  <si>
    <t>CNESST</t>
  </si>
  <si>
    <t>Calcul des charges sociales  2018</t>
  </si>
  <si>
    <t>MAJ le 23-02-2018</t>
  </si>
  <si>
    <t>Calcul des charges sociales  2019</t>
  </si>
  <si>
    <t>Calcul des charges sociales  2021</t>
  </si>
  <si>
    <t>MAJ le 13-01-2021</t>
  </si>
  <si>
    <t>Calcul des charges sociales  2022</t>
  </si>
  <si>
    <t>MAJ le 05-01-2022</t>
  </si>
  <si>
    <t>Calcul des charges sociales  2023</t>
  </si>
  <si>
    <t>MAJ le 09-01-2023</t>
  </si>
  <si>
    <t>Rima Amche</t>
  </si>
  <si>
    <t>Marie-Gabrielle Lessard</t>
  </si>
  <si>
    <t>Suzie Otis</t>
  </si>
  <si>
    <t>Nathalie Armand</t>
  </si>
  <si>
    <t>Noueau poste</t>
  </si>
  <si>
    <t>Calcul des charges sociales  2024</t>
  </si>
  <si>
    <t>MAJ le 18 Janvier 2024</t>
  </si>
  <si>
    <t>Note 1:  Pour le RRQ il y a une exemption de 4,160$.  Il faut donc s'assurer que le salaire utilisé pour les calcul est supérieur à 4,160$ car sinon le montant de cotisation de RRQ sera négatif.</t>
  </si>
  <si>
    <t>Calcul des charges sociales  2025</t>
  </si>
  <si>
    <t>Augmentation prévu selon la convention collective</t>
  </si>
  <si>
    <t>MAJ le 16 Janvier 2025</t>
  </si>
  <si>
    <t>1er avril 2025</t>
  </si>
  <si>
    <t>1er avril 2026</t>
  </si>
  <si>
    <t>1er avril 2027</t>
  </si>
  <si>
    <t>Note 1:  Pour le RRQ il y a une exemption de 4,339,20$.  Il faut donc s'assurer que le salaire utilisé pour les calcul est supérieur à 4,339,20$ car sinon le montant de cotisation de RRQ sera négatif.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</si>
</sst>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\ &quot;$&quot;_);\(#,##0.00\ &quot;$&quot;\)"/>
    <numFmt numFmtId="165" formatCode="_ * #,##0.00_)\ &quot;$&quot;_ ;_ * \(#,##0.00\)\ &quot;$&quot;_ ;_ * &quot;-&quot;??_)\ &quot;$&quot;_ ;_ @_ "/>
    <numFmt numFmtId="166" formatCode="_ * #,##0.00_)\ _$_ ;_ * \(#,##0.00\)\ _$_ ;_ * &quot;-&quot;??_)\ _$_ ;_ @_ "/>
    <numFmt numFmtId="167" formatCode="#,##0.000_);\(#,##0.000\)"/>
    <numFmt numFmtId="168" formatCode="_ * #,##0_)\ &quot;$&quot;_ ;_ * \(#,##0\)\ &quot;$&quot;_ ;_ * &quot;-&quot;??_)\ &quot;$&quot;_ ;_ @_ "/>
    <numFmt numFmtId="169" formatCode="#,##0.00\ &quot;$&quot;"/>
    <numFmt numFmtId="170" formatCode="0.000%"/>
    <numFmt numFmtId="171" formatCode="#,##0\ &quot;$&quot;"/>
    <numFmt numFmtId="172" formatCode="_-* #,##0.00\ &quot;$&quot;_-;_-* #,##0.00\ &quot;$&quot;\-;_-* &quot;-&quot;??\ &quot;$&quot;_-;_-@_-"/>
    <numFmt numFmtId="173" formatCode="_-* #,##0.00\ _$_-;_-* #,##0.00\ _$\-;_-* &quot;-&quot;??\ _$_-;_-@_-"/>
    <numFmt numFmtId="174" formatCode="0.0%"/>
    <numFmt numFmtId="175" formatCode="#,##0.0000\ &quot;$&quot;_);\(#,##0.0000\ &quot;$&quot;\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sz val="18"/>
      <color indexed="8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3" borderId="23" applyNumberFormat="0" applyAlignment="0" applyProtection="0"/>
    <xf numFmtId="0" fontId="29" fillId="14" borderId="24" applyNumberFormat="0" applyAlignment="0" applyProtection="0"/>
    <xf numFmtId="0" fontId="30" fillId="14" borderId="23" applyNumberFormat="0" applyAlignment="0" applyProtection="0"/>
    <xf numFmtId="0" fontId="31" fillId="0" borderId="25" applyNumberFormat="0" applyFill="0" applyAlignment="0" applyProtection="0"/>
    <xf numFmtId="0" fontId="32" fillId="15" borderId="2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37" fillId="0" borderId="0" applyNumberFormat="0" applyFill="0" applyBorder="0" applyAlignment="0" applyProtection="0"/>
    <xf numFmtId="0" fontId="38" fillId="12" borderId="0" applyNumberFormat="0" applyBorder="0" applyAlignment="0" applyProtection="0"/>
    <xf numFmtId="0" fontId="1" fillId="16" borderId="27" applyNumberFormat="0" applyFont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39" fillId="0" borderId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5" fillId="2" borderId="0" xfId="0" applyFont="1" applyFill="1"/>
    <xf numFmtId="39" fontId="5" fillId="0" borderId="0" xfId="0" applyNumberFormat="1" applyFont="1"/>
    <xf numFmtId="39" fontId="5" fillId="2" borderId="0" xfId="0" applyNumberFormat="1" applyFont="1" applyFill="1"/>
    <xf numFmtId="39" fontId="0" fillId="0" borderId="0" xfId="0" applyNumberFormat="1"/>
    <xf numFmtId="39" fontId="5" fillId="0" borderId="1" xfId="0" applyNumberFormat="1" applyFont="1" applyBorder="1"/>
    <xf numFmtId="0" fontId="5" fillId="0" borderId="0" xfId="0" applyFont="1" applyAlignment="1">
      <alignment horizontal="center"/>
    </xf>
    <xf numFmtId="39" fontId="5" fillId="3" borderId="0" xfId="0" applyNumberFormat="1" applyFont="1" applyFill="1"/>
    <xf numFmtId="167" fontId="5" fillId="0" borderId="0" xfId="0" applyNumberFormat="1" applyFont="1"/>
    <xf numFmtId="167" fontId="5" fillId="2" borderId="0" xfId="0" applyNumberFormat="1" applyFont="1" applyFill="1"/>
    <xf numFmtId="0" fontId="5" fillId="0" borderId="0" xfId="0" applyFont="1" applyAlignment="1">
      <alignment horizontal="left" indent="1"/>
    </xf>
    <xf numFmtId="0" fontId="6" fillId="0" borderId="0" xfId="0" applyFont="1"/>
    <xf numFmtId="0" fontId="7" fillId="0" borderId="0" xfId="0" applyFont="1"/>
    <xf numFmtId="39" fontId="7" fillId="0" borderId="0" xfId="0" applyNumberFormat="1" applyFont="1" applyAlignment="1">
      <alignment horizontal="left"/>
    </xf>
    <xf numFmtId="39" fontId="5" fillId="0" borderId="2" xfId="0" applyNumberFormat="1" applyFont="1" applyBorder="1"/>
    <xf numFmtId="165" fontId="5" fillId="0" borderId="0" xfId="1" applyFont="1"/>
    <xf numFmtId="165" fontId="5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7" fillId="4" borderId="3" xfId="0" applyFont="1" applyFill="1" applyBorder="1"/>
    <xf numFmtId="0" fontId="5" fillId="4" borderId="7" xfId="0" applyFont="1" applyFill="1" applyBorder="1" applyAlignment="1">
      <alignment horizontal="left" indent="1"/>
    </xf>
    <xf numFmtId="0" fontId="5" fillId="4" borderId="8" xfId="0" applyFont="1" applyFill="1" applyBorder="1" applyAlignment="1">
      <alignment horizontal="left" indent="1"/>
    </xf>
    <xf numFmtId="39" fontId="5" fillId="4" borderId="9" xfId="0" applyNumberFormat="1" applyFont="1" applyFill="1" applyBorder="1"/>
    <xf numFmtId="39" fontId="5" fillId="4" borderId="10" xfId="0" applyNumberFormat="1" applyFont="1" applyFill="1" applyBorder="1"/>
    <xf numFmtId="0" fontId="8" fillId="4" borderId="11" xfId="0" applyFont="1" applyFill="1" applyBorder="1"/>
    <xf numFmtId="0" fontId="11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indent="2"/>
    </xf>
    <xf numFmtId="39" fontId="7" fillId="0" borderId="0" xfId="0" applyNumberFormat="1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165" fontId="11" fillId="0" borderId="0" xfId="1" applyFont="1" applyFill="1" applyBorder="1" applyAlignment="1"/>
    <xf numFmtId="0" fontId="17" fillId="0" borderId="0" xfId="0" applyFont="1"/>
    <xf numFmtId="164" fontId="5" fillId="0" borderId="2" xfId="0" applyNumberFormat="1" applyFont="1" applyBorder="1"/>
    <xf numFmtId="164" fontId="14" fillId="5" borderId="13" xfId="0" applyNumberFormat="1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169" fontId="16" fillId="0" borderId="14" xfId="3" applyNumberFormat="1" applyFont="1" applyBorder="1" applyAlignment="1">
      <alignment horizontal="center"/>
    </xf>
    <xf numFmtId="169" fontId="16" fillId="0" borderId="15" xfId="3" applyNumberFormat="1" applyFont="1" applyBorder="1" applyAlignment="1">
      <alignment horizontal="center"/>
    </xf>
    <xf numFmtId="170" fontId="16" fillId="0" borderId="15" xfId="3" applyNumberFormat="1" applyFont="1" applyBorder="1" applyAlignment="1">
      <alignment horizontal="center"/>
    </xf>
    <xf numFmtId="10" fontId="16" fillId="0" borderId="15" xfId="3" applyNumberFormat="1" applyFont="1" applyBorder="1" applyAlignment="1">
      <alignment horizontal="center"/>
    </xf>
    <xf numFmtId="171" fontId="16" fillId="0" borderId="16" xfId="1" applyNumberFormat="1" applyFont="1" applyFill="1" applyBorder="1" applyAlignment="1">
      <alignment horizontal="center"/>
    </xf>
    <xf numFmtId="169" fontId="16" fillId="0" borderId="16" xfId="3" applyNumberFormat="1" applyFont="1" applyBorder="1" applyAlignment="1">
      <alignment horizontal="center"/>
    </xf>
    <xf numFmtId="9" fontId="14" fillId="0" borderId="16" xfId="2" applyFont="1" applyFill="1" applyBorder="1" applyAlignment="1">
      <alignment horizontal="center" vertical="center"/>
    </xf>
    <xf numFmtId="0" fontId="18" fillId="0" borderId="0" xfId="0" applyFont="1"/>
    <xf numFmtId="0" fontId="15" fillId="6" borderId="13" xfId="0" applyFont="1" applyFill="1" applyBorder="1" applyAlignment="1">
      <alignment horizontal="center" vertical="center" wrapText="1"/>
    </xf>
    <xf numFmtId="164" fontId="14" fillId="6" borderId="13" xfId="0" applyNumberFormat="1" applyFont="1" applyFill="1" applyBorder="1" applyAlignment="1">
      <alignment horizontal="center" vertical="center" wrapText="1"/>
    </xf>
    <xf numFmtId="0" fontId="5" fillId="6" borderId="13" xfId="3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10" fontId="0" fillId="0" borderId="0" xfId="2" applyNumberFormat="1" applyFont="1"/>
    <xf numFmtId="165" fontId="11" fillId="7" borderId="0" xfId="1" applyFont="1" applyFill="1" applyBorder="1" applyAlignment="1"/>
    <xf numFmtId="10" fontId="0" fillId="7" borderId="0" xfId="2" applyNumberFormat="1" applyFont="1" applyFill="1"/>
    <xf numFmtId="0" fontId="0" fillId="7" borderId="0" xfId="0" applyFill="1"/>
    <xf numFmtId="165" fontId="11" fillId="8" borderId="0" xfId="1" applyFont="1" applyFill="1" applyBorder="1" applyAlignment="1"/>
    <xf numFmtId="10" fontId="0" fillId="8" borderId="0" xfId="2" applyNumberFormat="1" applyFont="1" applyFill="1"/>
    <xf numFmtId="0" fontId="0" fillId="8" borderId="0" xfId="0" applyFill="1"/>
    <xf numFmtId="10" fontId="0" fillId="0" borderId="0" xfId="2" applyNumberFormat="1" applyFont="1" applyFill="1"/>
    <xf numFmtId="10" fontId="0" fillId="0" borderId="0" xfId="2" applyNumberFormat="1" applyFont="1" applyFill="1" applyBorder="1"/>
    <xf numFmtId="0" fontId="0" fillId="0" borderId="13" xfId="0" applyBorder="1"/>
    <xf numFmtId="2" fontId="11" fillId="0" borderId="13" xfId="1" applyNumberFormat="1" applyFont="1" applyFill="1" applyBorder="1" applyAlignment="1">
      <alignment horizontal="center"/>
    </xf>
    <xf numFmtId="1" fontId="11" fillId="0" borderId="13" xfId="1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165" fontId="21" fillId="0" borderId="13" xfId="1" applyFont="1" applyFill="1" applyBorder="1" applyAlignment="1"/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0" xfId="0" applyFont="1"/>
    <xf numFmtId="0" fontId="5" fillId="5" borderId="13" xfId="3" applyFont="1" applyFill="1" applyBorder="1" applyAlignment="1">
      <alignment horizontal="center" vertical="center" wrapText="1"/>
    </xf>
    <xf numFmtId="0" fontId="5" fillId="6" borderId="13" xfId="3" applyFont="1" applyFill="1" applyBorder="1" applyAlignment="1">
      <alignment horizontal="center" vertical="center" wrapText="1"/>
    </xf>
    <xf numFmtId="164" fontId="0" fillId="0" borderId="0" xfId="0" applyNumberFormat="1"/>
    <xf numFmtId="169" fontId="16" fillId="9" borderId="15" xfId="3" applyNumberFormat="1" applyFont="1" applyFill="1" applyBorder="1" applyAlignment="1">
      <alignment horizontal="center"/>
    </xf>
    <xf numFmtId="170" fontId="16" fillId="9" borderId="15" xfId="3" applyNumberFormat="1" applyFont="1" applyFill="1" applyBorder="1" applyAlignment="1">
      <alignment horizontal="center"/>
    </xf>
    <xf numFmtId="171" fontId="16" fillId="9" borderId="16" xfId="1" applyNumberFormat="1" applyFont="1" applyFill="1" applyBorder="1" applyAlignment="1">
      <alignment horizontal="center"/>
    </xf>
    <xf numFmtId="10" fontId="16" fillId="9" borderId="15" xfId="3" applyNumberFormat="1" applyFont="1" applyFill="1" applyBorder="1" applyAlignment="1">
      <alignment horizontal="center"/>
    </xf>
    <xf numFmtId="169" fontId="16" fillId="9" borderId="16" xfId="3" applyNumberFormat="1" applyFont="1" applyFill="1" applyBorder="1" applyAlignment="1">
      <alignment horizontal="center"/>
    </xf>
    <xf numFmtId="169" fontId="16" fillId="5" borderId="15" xfId="3" applyNumberFormat="1" applyFont="1" applyFill="1" applyBorder="1" applyAlignment="1">
      <alignment horizontal="center"/>
    </xf>
    <xf numFmtId="170" fontId="16" fillId="5" borderId="15" xfId="3" applyNumberFormat="1" applyFont="1" applyFill="1" applyBorder="1" applyAlignment="1">
      <alignment horizontal="center"/>
    </xf>
    <xf numFmtId="171" fontId="16" fillId="5" borderId="16" xfId="1" applyNumberFormat="1" applyFont="1" applyFill="1" applyBorder="1" applyAlignment="1">
      <alignment horizontal="center"/>
    </xf>
    <xf numFmtId="10" fontId="16" fillId="5" borderId="15" xfId="3" applyNumberFormat="1" applyFont="1" applyFill="1" applyBorder="1" applyAlignment="1">
      <alignment horizontal="center"/>
    </xf>
    <xf numFmtId="169" fontId="16" fillId="5" borderId="16" xfId="3" applyNumberFormat="1" applyFont="1" applyFill="1" applyBorder="1" applyAlignment="1">
      <alignment horizontal="center"/>
    </xf>
    <xf numFmtId="0" fontId="7" fillId="41" borderId="11" xfId="0" applyFont="1" applyFill="1" applyBorder="1"/>
    <xf numFmtId="0" fontId="0" fillId="41" borderId="3" xfId="0" applyFill="1" applyBorder="1"/>
    <xf numFmtId="0" fontId="2" fillId="41" borderId="5" xfId="0" applyFont="1" applyFill="1" applyBorder="1" applyAlignment="1">
      <alignment horizontal="left" indent="2"/>
    </xf>
    <xf numFmtId="0" fontId="0" fillId="41" borderId="0" xfId="0" applyFill="1"/>
    <xf numFmtId="174" fontId="0" fillId="41" borderId="0" xfId="0" applyNumberFormat="1" applyFill="1"/>
    <xf numFmtId="0" fontId="5" fillId="41" borderId="6" xfId="0" applyFont="1" applyFill="1" applyBorder="1" applyAlignment="1">
      <alignment horizontal="center"/>
    </xf>
    <xf numFmtId="0" fontId="2" fillId="41" borderId="7" xfId="0" applyFont="1" applyFill="1" applyBorder="1" applyAlignment="1">
      <alignment horizontal="left" indent="2"/>
    </xf>
    <xf numFmtId="0" fontId="0" fillId="41" borderId="8" xfId="0" applyFill="1" applyBorder="1"/>
    <xf numFmtId="174" fontId="0" fillId="41" borderId="8" xfId="0" applyNumberFormat="1" applyFill="1" applyBorder="1"/>
    <xf numFmtId="0" fontId="5" fillId="41" borderId="29" xfId="0" applyFont="1" applyFill="1" applyBorder="1" applyAlignment="1">
      <alignment horizontal="center"/>
    </xf>
    <xf numFmtId="0" fontId="40" fillId="0" borderId="0" xfId="0" applyFont="1"/>
    <xf numFmtId="175" fontId="0" fillId="0" borderId="0" xfId="0" applyNumberFormat="1"/>
    <xf numFmtId="164" fontId="5" fillId="0" borderId="13" xfId="0" applyNumberFormat="1" applyFont="1" applyBorder="1"/>
    <xf numFmtId="164" fontId="2" fillId="0" borderId="13" xfId="0" applyNumberFormat="1" applyFont="1" applyBorder="1"/>
    <xf numFmtId="0" fontId="2" fillId="0" borderId="13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167" fontId="2" fillId="0" borderId="0" xfId="0" applyNumberFormat="1" applyFont="1"/>
    <xf numFmtId="39" fontId="2" fillId="0" borderId="0" xfId="0" applyNumberFormat="1" applyFont="1"/>
    <xf numFmtId="39" fontId="2" fillId="0" borderId="0" xfId="0" applyNumberFormat="1" applyFont="1" applyAlignment="1">
      <alignment horizontal="left"/>
    </xf>
    <xf numFmtId="165" fontId="2" fillId="0" borderId="0" xfId="1" applyFont="1"/>
    <xf numFmtId="165" fontId="2" fillId="0" borderId="0" xfId="1" applyFont="1" applyFill="1"/>
    <xf numFmtId="39" fontId="2" fillId="4" borderId="3" xfId="0" applyNumberFormat="1" applyFont="1" applyFill="1" applyBorder="1"/>
    <xf numFmtId="39" fontId="2" fillId="4" borderId="4" xfId="0" applyNumberFormat="1" applyFont="1" applyFill="1" applyBorder="1"/>
    <xf numFmtId="0" fontId="2" fillId="4" borderId="5" xfId="0" applyFont="1" applyFill="1" applyBorder="1"/>
    <xf numFmtId="0" fontId="2" fillId="4" borderId="0" xfId="0" applyFont="1" applyFill="1"/>
    <xf numFmtId="39" fontId="2" fillId="4" borderId="0" xfId="0" applyNumberFormat="1" applyFont="1" applyFill="1"/>
    <xf numFmtId="39" fontId="2" fillId="4" borderId="6" xfId="0" applyNumberFormat="1" applyFont="1" applyFill="1" applyBorder="1"/>
    <xf numFmtId="0" fontId="2" fillId="4" borderId="5" xfId="0" applyFont="1" applyFill="1" applyBorder="1" applyAlignment="1">
      <alignment horizontal="left" indent="1"/>
    </xf>
    <xf numFmtId="0" fontId="2" fillId="4" borderId="0" xfId="0" applyFont="1" applyFill="1" applyAlignment="1">
      <alignment horizontal="left" indent="1"/>
    </xf>
    <xf numFmtId="168" fontId="2" fillId="0" borderId="0" xfId="1" applyNumberFormat="1" applyFont="1"/>
    <xf numFmtId="167" fontId="2" fillId="0" borderId="12" xfId="0" applyNumberFormat="1" applyFont="1" applyBorder="1"/>
    <xf numFmtId="39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2" fillId="7" borderId="0" xfId="0" applyNumberFormat="1" applyFont="1" applyFill="1"/>
    <xf numFmtId="164" fontId="2" fillId="0" borderId="0" xfId="0" applyNumberFormat="1" applyFont="1"/>
    <xf numFmtId="164" fontId="2" fillId="8" borderId="0" xfId="0" applyNumberFormat="1" applyFont="1" applyFill="1"/>
    <xf numFmtId="164" fontId="2" fillId="8" borderId="17" xfId="0" applyNumberFormat="1" applyFont="1" applyFill="1" applyBorder="1"/>
    <xf numFmtId="164" fontId="2" fillId="8" borderId="18" xfId="0" applyNumberFormat="1" applyFont="1" applyFill="1" applyBorder="1"/>
    <xf numFmtId="164" fontId="2" fillId="8" borderId="19" xfId="0" applyNumberFormat="1" applyFont="1" applyFill="1" applyBorder="1"/>
    <xf numFmtId="164" fontId="2" fillId="4" borderId="0" xfId="0" applyNumberFormat="1" applyFont="1" applyFill="1"/>
    <xf numFmtId="164" fontId="2" fillId="8" borderId="13" xfId="0" applyNumberFormat="1" applyFont="1" applyFill="1" applyBorder="1"/>
    <xf numFmtId="0" fontId="2" fillId="41" borderId="3" xfId="0" applyFont="1" applyFill="1" applyBorder="1"/>
    <xf numFmtId="0" fontId="2" fillId="41" borderId="4" xfId="0" applyFont="1" applyFill="1" applyBorder="1"/>
  </cellXfs>
  <cellStyles count="56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 % - Accent1 2" xfId="40" xr:uid="{00000000-0005-0000-0000-00000C000000}"/>
    <cellStyle name="60 % - Accent2 2" xfId="41" xr:uid="{00000000-0005-0000-0000-00000D000000}"/>
    <cellStyle name="60 % - Accent3 2" xfId="42" xr:uid="{00000000-0005-0000-0000-00000E000000}"/>
    <cellStyle name="60 % - Accent4 2" xfId="43" xr:uid="{00000000-0005-0000-0000-00000F000000}"/>
    <cellStyle name="60 % - Accent5 2" xfId="44" xr:uid="{00000000-0005-0000-0000-000010000000}"/>
    <cellStyle name="60 % - Accent6 2" xfId="45" xr:uid="{00000000-0005-0000-0000-000011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Milliers 2" xfId="51" xr:uid="{00000000-0005-0000-0000-00001D000000}"/>
    <cellStyle name="Milliers 3" xfId="52" xr:uid="{00000000-0005-0000-0000-00001E000000}"/>
    <cellStyle name="Monétaire 2" xfId="48" xr:uid="{00000000-0005-0000-0000-000020000000}"/>
    <cellStyle name="Monétaire 3" xfId="49" xr:uid="{00000000-0005-0000-0000-000021000000}"/>
    <cellStyle name="Monétaire 3 2" xfId="53" xr:uid="{00000000-0005-0000-0000-000022000000}"/>
    <cellStyle name="Monétaire 4" xfId="46" xr:uid="{00000000-0005-0000-0000-000023000000}"/>
    <cellStyle name="Neutre 2" xfId="38" xr:uid="{00000000-0005-0000-0000-000024000000}"/>
    <cellStyle name="Normal" xfId="0" builtinId="0"/>
    <cellStyle name="Normal 2" xfId="3" xr:uid="{00000000-0005-0000-0000-000026000000}"/>
    <cellStyle name="Normal 2 2" xfId="47" xr:uid="{00000000-0005-0000-0000-000027000000}"/>
    <cellStyle name="Normal 3" xfId="54" xr:uid="{00000000-0005-0000-0000-000028000000}"/>
    <cellStyle name="Normal 4" xfId="55" xr:uid="{00000000-0005-0000-0000-000029000000}"/>
    <cellStyle name="Normal 5" xfId="36" xr:uid="{00000000-0005-0000-0000-00002A000000}"/>
    <cellStyle name="Note 2" xfId="39" xr:uid="{00000000-0005-0000-0000-00002B000000}"/>
    <cellStyle name="Output" xfId="11" builtinId="21" customBuiltin="1"/>
    <cellStyle name="Percent" xfId="2" builtinId="5"/>
    <cellStyle name="Pourcentage 2" xfId="50" xr:uid="{00000000-0005-0000-0000-00002D000000}"/>
    <cellStyle name="Titre 2" xfId="37" xr:uid="{00000000-0005-0000-0000-000031000000}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20"/>
  <sheetViews>
    <sheetView workbookViewId="0">
      <selection activeCell="B12" sqref="B12"/>
    </sheetView>
  </sheetViews>
  <sheetFormatPr defaultColWidth="11.42578125" defaultRowHeight="13.15"/>
  <cols>
    <col min="2" max="3" width="20.5703125" customWidth="1"/>
  </cols>
  <sheetData>
    <row r="5" spans="1:3" ht="22.9">
      <c r="A5" s="111" t="s">
        <v>0</v>
      </c>
      <c r="B5" s="112"/>
      <c r="C5" s="112"/>
    </row>
    <row r="7" spans="1:3" ht="17.45">
      <c r="B7" s="1" t="s">
        <v>1</v>
      </c>
      <c r="C7" s="1" t="s">
        <v>2</v>
      </c>
    </row>
    <row r="9" spans="1:3">
      <c r="A9" s="2" t="s">
        <v>3</v>
      </c>
      <c r="B9" s="2">
        <v>4.95</v>
      </c>
      <c r="C9" s="2">
        <v>4.95</v>
      </c>
    </row>
    <row r="10" spans="1:3">
      <c r="A10" s="2" t="s">
        <v>4</v>
      </c>
      <c r="B10" s="2">
        <v>4.26</v>
      </c>
      <c r="C10" s="2">
        <v>4.26</v>
      </c>
    </row>
    <row r="11" spans="1:3">
      <c r="A11" s="2" t="s">
        <v>5</v>
      </c>
      <c r="B11" s="2">
        <v>1.38</v>
      </c>
      <c r="C11" s="2">
        <v>1.38</v>
      </c>
    </row>
    <row r="12" spans="1:3">
      <c r="A12" s="2" t="s">
        <v>6</v>
      </c>
      <c r="B12" s="2">
        <v>2.62</v>
      </c>
      <c r="C12" s="2">
        <v>2.62</v>
      </c>
    </row>
    <row r="13" spans="1:3">
      <c r="A13" s="2" t="s">
        <v>7</v>
      </c>
      <c r="B13" s="2">
        <v>8</v>
      </c>
      <c r="C13" s="2">
        <v>10</v>
      </c>
    </row>
    <row r="14" spans="1:3">
      <c r="A14" s="2"/>
      <c r="B14" s="2"/>
      <c r="C14" s="2"/>
    </row>
    <row r="15" spans="1:3">
      <c r="A15" s="3" t="s">
        <v>8</v>
      </c>
      <c r="B15" s="3">
        <f>SUM(B9:B14)</f>
        <v>21.21</v>
      </c>
      <c r="C15" s="3">
        <f>SUM(C9:C14)</f>
        <v>23.21</v>
      </c>
    </row>
    <row r="16" spans="1:3">
      <c r="A16" s="2"/>
      <c r="B16" s="2"/>
      <c r="C16" s="2"/>
    </row>
    <row r="17" spans="1:3">
      <c r="A17" s="2" t="s">
        <v>9</v>
      </c>
      <c r="B17" s="2">
        <v>9.91</v>
      </c>
      <c r="C17" s="2">
        <v>5.3</v>
      </c>
    </row>
    <row r="18" spans="1:3">
      <c r="A18" s="2"/>
      <c r="B18" s="2"/>
      <c r="C18" s="2"/>
    </row>
    <row r="19" spans="1:3">
      <c r="A19" s="3" t="s">
        <v>10</v>
      </c>
      <c r="B19" s="3">
        <f>SUM(B15:B17)</f>
        <v>31.12</v>
      </c>
      <c r="C19" s="3">
        <f>SUM(C15:C17)</f>
        <v>28.51</v>
      </c>
    </row>
    <row r="20" spans="1:3">
      <c r="A20" s="2"/>
      <c r="B20" s="2"/>
      <c r="C20" s="2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2"/>
  <sheetViews>
    <sheetView workbookViewId="0">
      <selection activeCell="C25" sqref="C25"/>
    </sheetView>
  </sheetViews>
  <sheetFormatPr defaultColWidth="11.42578125" defaultRowHeight="13.15"/>
  <cols>
    <col min="1" max="1" width="24.5703125" style="13" customWidth="1"/>
    <col min="2" max="2" width="8.5703125" style="13" customWidth="1"/>
    <col min="3" max="3" width="17.28515625" style="13" customWidth="1"/>
    <col min="4" max="4" width="16.5703125" style="13" customWidth="1"/>
    <col min="5" max="16384" width="11.42578125" style="13"/>
  </cols>
  <sheetData>
    <row r="1" spans="1:5" ht="22.9">
      <c r="A1" s="111" t="s">
        <v>29</v>
      </c>
      <c r="B1" s="111"/>
      <c r="C1" s="114"/>
      <c r="D1" s="114"/>
      <c r="E1" s="115"/>
    </row>
    <row r="2" spans="1:5" ht="27" customHeight="1">
      <c r="A2" s="115"/>
      <c r="B2" s="115"/>
      <c r="C2" s="115"/>
      <c r="D2" s="115"/>
      <c r="E2" s="115"/>
    </row>
    <row r="3" spans="1:5" s="2" customFormat="1">
      <c r="C3" s="8" t="s">
        <v>14</v>
      </c>
      <c r="D3" s="8" t="s">
        <v>30</v>
      </c>
    </row>
    <row r="4" spans="1:5" s="2" customFormat="1">
      <c r="C4" s="8"/>
      <c r="D4" s="8"/>
      <c r="E4" s="17"/>
    </row>
    <row r="5" spans="1:5">
      <c r="A5" s="2" t="s">
        <v>31</v>
      </c>
      <c r="B5" s="115"/>
      <c r="C5" s="115"/>
      <c r="D5" s="115"/>
      <c r="E5" s="115"/>
    </row>
    <row r="6" spans="1:5">
      <c r="A6" s="116" t="s">
        <v>3</v>
      </c>
      <c r="B6" s="116"/>
      <c r="C6" s="117">
        <v>4.95</v>
      </c>
      <c r="D6" s="117">
        <v>4.95</v>
      </c>
      <c r="E6" s="115"/>
    </row>
    <row r="7" spans="1:5">
      <c r="A7" s="116" t="s">
        <v>4</v>
      </c>
      <c r="B7" s="116"/>
      <c r="C7" s="117">
        <v>4.26</v>
      </c>
      <c r="D7" s="117">
        <v>4.26</v>
      </c>
      <c r="E7" s="115"/>
    </row>
    <row r="8" spans="1:5">
      <c r="A8" s="116" t="s">
        <v>20</v>
      </c>
      <c r="B8" s="116"/>
      <c r="C8" s="117">
        <v>0.53700000000000003</v>
      </c>
      <c r="D8" s="117">
        <v>0.53700000000000003</v>
      </c>
      <c r="E8" s="115"/>
    </row>
    <row r="9" spans="1:5">
      <c r="A9" s="116" t="s">
        <v>5</v>
      </c>
      <c r="B9" s="116"/>
      <c r="C9" s="117">
        <v>1.34</v>
      </c>
      <c r="D9" s="117">
        <v>1.34</v>
      </c>
      <c r="E9" s="115"/>
    </row>
    <row r="10" spans="1:5">
      <c r="A10" s="116" t="s">
        <v>32</v>
      </c>
      <c r="B10" s="116"/>
      <c r="C10" s="117">
        <v>3.91</v>
      </c>
      <c r="D10" s="117">
        <v>3.91</v>
      </c>
      <c r="E10" s="115"/>
    </row>
    <row r="11" spans="1:5">
      <c r="A11" s="115"/>
      <c r="B11" s="115"/>
      <c r="C11" s="118"/>
      <c r="D11" s="118"/>
      <c r="E11" s="115"/>
    </row>
    <row r="12" spans="1:5">
      <c r="A12" s="2" t="s">
        <v>33</v>
      </c>
      <c r="B12" s="115"/>
      <c r="C12" s="117"/>
      <c r="D12" s="117"/>
      <c r="E12" s="115"/>
    </row>
    <row r="13" spans="1:5">
      <c r="A13" s="116" t="s">
        <v>7</v>
      </c>
      <c r="B13" s="116" t="s">
        <v>34</v>
      </c>
      <c r="C13" s="117">
        <v>0</v>
      </c>
      <c r="D13" s="117">
        <v>8</v>
      </c>
      <c r="E13" s="115"/>
    </row>
    <row r="14" spans="1:5">
      <c r="A14" s="116" t="s">
        <v>35</v>
      </c>
      <c r="B14" s="116" t="s">
        <v>34</v>
      </c>
      <c r="C14" s="117">
        <v>0</v>
      </c>
      <c r="D14" s="117">
        <f>9.91-4</f>
        <v>5.91</v>
      </c>
      <c r="E14" s="115"/>
    </row>
    <row r="15" spans="1:5">
      <c r="A15" s="116" t="s">
        <v>36</v>
      </c>
      <c r="B15" s="116" t="s">
        <v>37</v>
      </c>
      <c r="C15" s="117">
        <v>2</v>
      </c>
      <c r="D15" s="117">
        <v>4</v>
      </c>
      <c r="E15" s="115"/>
    </row>
    <row r="16" spans="1:5">
      <c r="A16" s="116" t="s">
        <v>38</v>
      </c>
      <c r="B16" s="115"/>
      <c r="C16" s="117">
        <v>1.75</v>
      </c>
      <c r="D16" s="117">
        <v>1.75</v>
      </c>
      <c r="E16" s="115"/>
    </row>
    <row r="17" spans="1:4">
      <c r="A17" s="116"/>
      <c r="B17" s="115"/>
      <c r="C17" s="117"/>
      <c r="D17" s="117"/>
    </row>
    <row r="18" spans="1:4" s="2" customFormat="1">
      <c r="A18" s="2" t="s">
        <v>39</v>
      </c>
      <c r="C18" s="10">
        <f>SUM(C6:C16)</f>
        <v>18.747</v>
      </c>
      <c r="D18" s="10">
        <f>SUM(D5:D16)</f>
        <v>34.656999999999996</v>
      </c>
    </row>
    <row r="19" spans="1:4">
      <c r="A19" s="115"/>
      <c r="B19" s="115"/>
      <c r="C19" s="117"/>
      <c r="D19" s="117"/>
    </row>
    <row r="20" spans="1:4">
      <c r="A20" s="115"/>
      <c r="B20" s="115"/>
      <c r="C20" s="118"/>
      <c r="D20" s="118"/>
    </row>
    <row r="21" spans="1:4">
      <c r="A21" s="14" t="s">
        <v>40</v>
      </c>
      <c r="B21" s="14"/>
      <c r="C21" s="118"/>
      <c r="D21" s="118"/>
    </row>
    <row r="22" spans="1:4">
      <c r="A22" s="115"/>
      <c r="B22" s="115"/>
      <c r="C22" s="118"/>
      <c r="D22" s="118"/>
    </row>
    <row r="23" spans="1:4">
      <c r="A23" s="116" t="s">
        <v>13</v>
      </c>
      <c r="B23" s="116"/>
      <c r="C23" s="118">
        <v>20</v>
      </c>
      <c r="D23" s="118">
        <v>28.63</v>
      </c>
    </row>
    <row r="24" spans="1:4">
      <c r="A24" s="116"/>
      <c r="B24" s="116"/>
      <c r="C24" s="118"/>
      <c r="D24" s="118"/>
    </row>
    <row r="25" spans="1:4">
      <c r="A25" s="116" t="s">
        <v>41</v>
      </c>
      <c r="B25" s="116"/>
      <c r="C25" s="118">
        <f>+C23*0.18997</f>
        <v>3.7993999999999999</v>
      </c>
      <c r="D25" s="118">
        <f>+D23*0.32907</f>
        <v>9.4212740999999998</v>
      </c>
    </row>
    <row r="26" spans="1:4">
      <c r="A26" s="116"/>
      <c r="B26" s="116"/>
      <c r="C26" s="118"/>
      <c r="D26" s="118"/>
    </row>
    <row r="27" spans="1:4" s="2" customFormat="1" ht="13.9" thickBot="1">
      <c r="A27" s="12" t="s">
        <v>42</v>
      </c>
      <c r="B27" s="12"/>
      <c r="C27" s="16">
        <f>SUM(C22:C25)</f>
        <v>23.799399999999999</v>
      </c>
      <c r="D27" s="16">
        <f>SUM(D22:D25)</f>
        <v>38.051274100000001</v>
      </c>
    </row>
    <row r="28" spans="1:4" s="2" customFormat="1" ht="13.9" thickTop="1">
      <c r="A28" s="12"/>
      <c r="B28" s="12"/>
      <c r="C28" s="4"/>
      <c r="D28" s="4"/>
    </row>
    <row r="29" spans="1:4" s="2" customFormat="1">
      <c r="A29" s="12"/>
      <c r="B29" s="12"/>
      <c r="C29" s="4"/>
      <c r="D29" s="4"/>
    </row>
    <row r="30" spans="1:4" s="2" customFormat="1">
      <c r="A30" s="12"/>
      <c r="B30" s="12"/>
      <c r="C30" s="4"/>
      <c r="D30" s="4"/>
    </row>
    <row r="31" spans="1:4" s="2" customFormat="1">
      <c r="A31" s="12"/>
      <c r="B31" s="12"/>
      <c r="C31" s="4"/>
      <c r="D31" s="4"/>
    </row>
    <row r="32" spans="1:4">
      <c r="A32" s="2" t="s">
        <v>43</v>
      </c>
      <c r="B32" s="2"/>
      <c r="C32" s="118"/>
      <c r="D32" s="118"/>
    </row>
    <row r="33" spans="1:4">
      <c r="A33" s="2"/>
      <c r="B33" s="2"/>
      <c r="C33" s="118"/>
      <c r="D33" s="118"/>
    </row>
    <row r="34" spans="1:4">
      <c r="A34" s="14" t="s">
        <v>34</v>
      </c>
      <c r="B34" s="2"/>
      <c r="C34" s="118"/>
      <c r="D34" s="118"/>
    </row>
    <row r="35" spans="1:4">
      <c r="A35" s="119" t="s">
        <v>44</v>
      </c>
      <c r="B35" s="119"/>
      <c r="C35" s="115"/>
      <c r="D35" s="118"/>
    </row>
    <row r="36" spans="1:4">
      <c r="A36" s="119"/>
      <c r="B36" s="119"/>
      <c r="C36" s="115"/>
      <c r="D36" s="118"/>
    </row>
    <row r="37" spans="1:4">
      <c r="A37" s="119" t="s">
        <v>45</v>
      </c>
      <c r="B37" s="119"/>
      <c r="C37" s="115"/>
      <c r="D37" s="115"/>
    </row>
    <row r="39" spans="1:4">
      <c r="A39" s="15" t="s">
        <v>37</v>
      </c>
      <c r="B39" s="115"/>
      <c r="C39" s="115"/>
      <c r="D39" s="115"/>
    </row>
    <row r="40" spans="1:4" ht="13.5" customHeight="1">
      <c r="A40" s="119" t="s">
        <v>46</v>
      </c>
      <c r="B40" s="119"/>
      <c r="C40" s="115"/>
      <c r="D40" s="118"/>
    </row>
    <row r="41" spans="1:4" ht="13.5" customHeight="1">
      <c r="A41" s="119" t="s">
        <v>47</v>
      </c>
      <c r="B41" s="119"/>
      <c r="C41" s="118"/>
      <c r="D41" s="118"/>
    </row>
    <row r="42" spans="1:4" ht="13.5" customHeight="1">
      <c r="A42" s="119" t="s">
        <v>48</v>
      </c>
      <c r="B42" s="115"/>
      <c r="C42" s="115"/>
      <c r="D42" s="115"/>
    </row>
  </sheetData>
  <mergeCells count="1">
    <mergeCell ref="A1:D1"/>
  </mergeCells>
  <phoneticPr fontId="0" type="noConversion"/>
  <printOptions horizontalCentered="1" gridLines="1"/>
  <pageMargins left="0.98425196850393704" right="0.98425196850393704" top="0.98425196850393704" bottom="0.98425196850393704" header="0.51181102362204722" footer="0.51181102362204722"/>
  <pageSetup orientation="portrait" r:id="rId1"/>
  <headerFooter alignWithMargins="0">
    <oddFooter>&amp;L&amp;8&amp;Z&amp;F/&amp;A&amp;R&amp;8&amp;D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3"/>
  <sheetViews>
    <sheetView workbookViewId="0">
      <selection activeCell="D10" sqref="D10"/>
    </sheetView>
  </sheetViews>
  <sheetFormatPr defaultColWidth="11.42578125" defaultRowHeight="13.15"/>
  <cols>
    <col min="1" max="1" width="24.5703125" style="13" customWidth="1"/>
    <col min="2" max="2" width="8.5703125" style="13" customWidth="1"/>
    <col min="3" max="3" width="17.28515625" style="13" customWidth="1"/>
    <col min="4" max="4" width="16.5703125" style="13" customWidth="1"/>
    <col min="5" max="5" width="15.42578125" style="13" customWidth="1"/>
    <col min="6" max="6" width="13.85546875" style="13" customWidth="1"/>
    <col min="7" max="16384" width="11.42578125" style="13"/>
  </cols>
  <sheetData>
    <row r="1" spans="1:5" ht="22.9">
      <c r="A1" s="111" t="s">
        <v>49</v>
      </c>
      <c r="B1" s="111"/>
      <c r="C1" s="114"/>
      <c r="D1" s="114"/>
      <c r="E1" s="115"/>
    </row>
    <row r="2" spans="1:5" ht="27" customHeight="1">
      <c r="A2" s="115"/>
      <c r="B2" s="115"/>
      <c r="C2" s="115"/>
      <c r="D2" s="115"/>
      <c r="E2" s="115"/>
    </row>
    <row r="3" spans="1:5" s="2" customFormat="1">
      <c r="C3" s="8" t="s">
        <v>14</v>
      </c>
      <c r="D3" s="8" t="s">
        <v>30</v>
      </c>
      <c r="E3" s="19" t="s">
        <v>50</v>
      </c>
    </row>
    <row r="4" spans="1:5" s="2" customFormat="1">
      <c r="C4" s="8"/>
      <c r="D4" s="8"/>
      <c r="E4" s="18" t="s">
        <v>25</v>
      </c>
    </row>
    <row r="5" spans="1:5">
      <c r="A5" s="2" t="s">
        <v>31</v>
      </c>
      <c r="B5" s="115"/>
      <c r="C5" s="115"/>
      <c r="D5" s="115"/>
      <c r="E5" s="115"/>
    </row>
    <row r="6" spans="1:5">
      <c r="A6" s="116" t="s">
        <v>3</v>
      </c>
      <c r="B6" s="116"/>
      <c r="C6" s="117">
        <v>5.0999999999999996</v>
      </c>
      <c r="D6" s="117">
        <v>5.0999999999999996</v>
      </c>
      <c r="E6" s="120">
        <v>0</v>
      </c>
    </row>
    <row r="7" spans="1:5">
      <c r="A7" s="116" t="s">
        <v>4</v>
      </c>
      <c r="B7" s="116"/>
      <c r="C7" s="117">
        <v>4.26</v>
      </c>
      <c r="D7" s="117">
        <v>4.26</v>
      </c>
      <c r="E7" s="120">
        <v>0</v>
      </c>
    </row>
    <row r="8" spans="1:5">
      <c r="A8" s="116" t="s">
        <v>20</v>
      </c>
      <c r="B8" s="116"/>
      <c r="C8" s="117">
        <v>0.55900000000000005</v>
      </c>
      <c r="D8" s="117">
        <v>0.55900000000000005</v>
      </c>
      <c r="E8" s="120">
        <v>0</v>
      </c>
    </row>
    <row r="9" spans="1:5">
      <c r="A9" s="116" t="s">
        <v>5</v>
      </c>
      <c r="B9" s="116"/>
      <c r="C9" s="117">
        <v>1.47</v>
      </c>
      <c r="D9" s="117">
        <v>1.47</v>
      </c>
      <c r="E9" s="120">
        <v>0</v>
      </c>
    </row>
    <row r="10" spans="1:5">
      <c r="A10" s="116" t="s">
        <v>32</v>
      </c>
      <c r="B10" s="116"/>
      <c r="C10" s="117">
        <f>1.52*1.4</f>
        <v>2.1279999999999997</v>
      </c>
      <c r="D10" s="117">
        <f>1.88*1.4</f>
        <v>2.6319999999999997</v>
      </c>
      <c r="E10" s="121">
        <v>0</v>
      </c>
    </row>
    <row r="11" spans="1:5">
      <c r="A11" s="115"/>
      <c r="B11" s="115"/>
      <c r="C11" s="118"/>
      <c r="D11" s="118"/>
      <c r="E11" s="115"/>
    </row>
    <row r="12" spans="1:5">
      <c r="A12" s="2" t="s">
        <v>33</v>
      </c>
      <c r="B12" s="115"/>
      <c r="C12" s="117"/>
      <c r="D12" s="117"/>
      <c r="E12" s="115"/>
    </row>
    <row r="13" spans="1:5">
      <c r="A13" s="116" t="s">
        <v>7</v>
      </c>
      <c r="B13" s="116" t="s">
        <v>34</v>
      </c>
      <c r="C13" s="117">
        <v>8</v>
      </c>
      <c r="D13" s="117">
        <v>8</v>
      </c>
      <c r="E13" s="115"/>
    </row>
    <row r="14" spans="1:5">
      <c r="A14" s="116" t="s">
        <v>35</v>
      </c>
      <c r="B14" s="116" t="s">
        <v>34</v>
      </c>
      <c r="C14" s="117">
        <v>0</v>
      </c>
      <c r="D14" s="117">
        <f>9.91-4</f>
        <v>5.91</v>
      </c>
      <c r="E14" s="115"/>
    </row>
    <row r="15" spans="1:5">
      <c r="A15" s="116" t="s">
        <v>36</v>
      </c>
      <c r="B15" s="116" t="s">
        <v>37</v>
      </c>
      <c r="C15" s="117">
        <v>2</v>
      </c>
      <c r="D15" s="117">
        <v>4</v>
      </c>
      <c r="E15" s="115"/>
    </row>
    <row r="16" spans="1:5">
      <c r="A16" s="116" t="s">
        <v>38</v>
      </c>
      <c r="B16" s="115"/>
      <c r="C16" s="117">
        <v>1.75</v>
      </c>
      <c r="D16" s="117">
        <v>1.75</v>
      </c>
      <c r="E16" s="115"/>
    </row>
    <row r="17" spans="1:4">
      <c r="A17" s="116"/>
      <c r="B17" s="26">
        <v>1.75</v>
      </c>
      <c r="C17" s="117"/>
      <c r="D17" s="117"/>
    </row>
    <row r="18" spans="1:4" s="2" customFormat="1">
      <c r="A18" s="2" t="s">
        <v>51</v>
      </c>
      <c r="C18" s="10">
        <f>SUM(C6:C16)</f>
        <v>25.266999999999999</v>
      </c>
      <c r="D18" s="10">
        <f>SUM(D5:D16)</f>
        <v>33.680999999999997</v>
      </c>
    </row>
    <row r="19" spans="1:4">
      <c r="A19" s="115"/>
      <c r="B19" s="115"/>
      <c r="C19" s="117"/>
      <c r="D19" s="117"/>
    </row>
    <row r="20" spans="1:4">
      <c r="A20" s="115"/>
      <c r="B20" s="115"/>
      <c r="C20" s="117"/>
      <c r="D20" s="117"/>
    </row>
    <row r="21" spans="1:4" ht="13.9" thickBot="1">
      <c r="A21" s="115"/>
      <c r="B21" s="115"/>
      <c r="C21" s="118"/>
      <c r="D21" s="118"/>
    </row>
    <row r="22" spans="1:4" ht="17.45">
      <c r="A22" s="25" t="s">
        <v>40</v>
      </c>
      <c r="B22" s="20"/>
      <c r="C22" s="122"/>
      <c r="D22" s="123"/>
    </row>
    <row r="23" spans="1:4">
      <c r="A23" s="124"/>
      <c r="B23" s="125"/>
      <c r="C23" s="126"/>
      <c r="D23" s="127"/>
    </row>
    <row r="24" spans="1:4">
      <c r="A24" s="128" t="s">
        <v>13</v>
      </c>
      <c r="B24" s="129"/>
      <c r="C24" s="126">
        <v>20</v>
      </c>
      <c r="D24" s="127">
        <v>28.63</v>
      </c>
    </row>
    <row r="25" spans="1:4">
      <c r="A25" s="128"/>
      <c r="B25" s="129"/>
      <c r="C25" s="126"/>
      <c r="D25" s="127"/>
    </row>
    <row r="26" spans="1:4">
      <c r="A26" s="128" t="s">
        <v>41</v>
      </c>
      <c r="B26" s="129"/>
      <c r="C26" s="126">
        <f>+C24*0.18997</f>
        <v>3.7993999999999999</v>
      </c>
      <c r="D26" s="127">
        <f>+D24*0.32907</f>
        <v>9.4212740999999998</v>
      </c>
    </row>
    <row r="27" spans="1:4">
      <c r="A27" s="128"/>
      <c r="B27" s="129"/>
      <c r="C27" s="126"/>
      <c r="D27" s="127"/>
    </row>
    <row r="28" spans="1:4" s="2" customFormat="1" ht="13.9" thickBot="1">
      <c r="A28" s="21" t="s">
        <v>42</v>
      </c>
      <c r="B28" s="22"/>
      <c r="C28" s="23">
        <f>SUM(C23:C26)</f>
        <v>23.799399999999999</v>
      </c>
      <c r="D28" s="24">
        <f>SUM(D23:D26)</f>
        <v>38.051274100000001</v>
      </c>
    </row>
    <row r="29" spans="1:4" s="2" customFormat="1">
      <c r="A29" s="12"/>
      <c r="B29" s="12"/>
      <c r="C29" s="4"/>
      <c r="D29" s="4"/>
    </row>
    <row r="30" spans="1:4" s="2" customFormat="1">
      <c r="A30" s="12"/>
      <c r="B30" s="12"/>
      <c r="C30" s="4"/>
      <c r="D30" s="4"/>
    </row>
    <row r="31" spans="1:4" s="2" customFormat="1">
      <c r="A31" s="12"/>
      <c r="B31" s="12"/>
      <c r="C31" s="4"/>
      <c r="D31" s="4"/>
    </row>
    <row r="32" spans="1:4" s="2" customFormat="1">
      <c r="A32" s="12"/>
      <c r="B32" s="12"/>
      <c r="C32" s="4"/>
      <c r="D32" s="4"/>
    </row>
    <row r="33" spans="1:4">
      <c r="A33" s="2" t="s">
        <v>43</v>
      </c>
      <c r="B33" s="2"/>
      <c r="C33" s="118"/>
      <c r="D33" s="118"/>
    </row>
    <row r="34" spans="1:4">
      <c r="A34" s="2"/>
      <c r="B34" s="2"/>
      <c r="C34" s="118"/>
      <c r="D34" s="118"/>
    </row>
    <row r="35" spans="1:4">
      <c r="A35" s="14" t="s">
        <v>34</v>
      </c>
      <c r="B35" s="2"/>
      <c r="C35" s="118"/>
      <c r="D35" s="118"/>
    </row>
    <row r="36" spans="1:4">
      <c r="A36" s="119" t="s">
        <v>44</v>
      </c>
      <c r="B36" s="119"/>
      <c r="C36" s="115"/>
      <c r="D36" s="118"/>
    </row>
    <row r="37" spans="1:4">
      <c r="A37" s="119"/>
      <c r="B37" s="119"/>
      <c r="C37" s="115"/>
      <c r="D37" s="118"/>
    </row>
    <row r="38" spans="1:4">
      <c r="A38" s="119" t="s">
        <v>45</v>
      </c>
      <c r="B38" s="119"/>
      <c r="C38" s="115"/>
      <c r="D38" s="115"/>
    </row>
    <row r="40" spans="1:4">
      <c r="A40" s="15" t="s">
        <v>37</v>
      </c>
      <c r="B40" s="115"/>
      <c r="C40" s="115"/>
      <c r="D40" s="115"/>
    </row>
    <row r="41" spans="1:4" ht="13.5" customHeight="1">
      <c r="A41" s="119" t="s">
        <v>46</v>
      </c>
      <c r="B41" s="119"/>
      <c r="C41" s="115"/>
      <c r="D41" s="118"/>
    </row>
    <row r="42" spans="1:4" ht="13.5" customHeight="1">
      <c r="A42" s="119" t="s">
        <v>47</v>
      </c>
      <c r="B42" s="119"/>
      <c r="C42" s="118"/>
      <c r="D42" s="118"/>
    </row>
    <row r="43" spans="1:4" ht="13.5" customHeight="1">
      <c r="A43" s="119" t="s">
        <v>48</v>
      </c>
      <c r="B43" s="115"/>
      <c r="C43" s="115"/>
      <c r="D43" s="115"/>
    </row>
  </sheetData>
  <mergeCells count="1">
    <mergeCell ref="A1:D1"/>
  </mergeCells>
  <phoneticPr fontId="0" type="noConversion"/>
  <printOptions horizontalCentered="1" gridLines="1"/>
  <pageMargins left="0.98425196850393704" right="0.98425196850393704" top="0.98425196850393704" bottom="0.98425196850393704" header="0.51181102362204722" footer="0.51181102362204722"/>
  <pageSetup orientation="portrait" r:id="rId1"/>
  <headerFooter alignWithMargins="0">
    <oddFooter>&amp;L&amp;8&amp;Z&amp;F/&amp;A&amp;R&amp;8&amp;D  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"/>
  <sheetViews>
    <sheetView workbookViewId="0">
      <selection activeCell="E10" sqref="E10"/>
    </sheetView>
  </sheetViews>
  <sheetFormatPr defaultColWidth="11.42578125" defaultRowHeight="13.15"/>
  <cols>
    <col min="1" max="1" width="28.5703125" style="13" customWidth="1"/>
    <col min="2" max="2" width="8.5703125" style="13" customWidth="1"/>
    <col min="3" max="3" width="17.28515625" style="13" customWidth="1"/>
    <col min="4" max="4" width="16.5703125" style="13" customWidth="1"/>
    <col min="5" max="5" width="14.85546875" style="13" customWidth="1"/>
    <col min="6" max="6" width="13.85546875" style="13" customWidth="1"/>
    <col min="7" max="16384" width="11.42578125" style="13"/>
  </cols>
  <sheetData>
    <row r="1" spans="1:6" ht="22.9">
      <c r="A1" s="111" t="s">
        <v>52</v>
      </c>
      <c r="B1" s="111"/>
      <c r="C1" s="114"/>
      <c r="D1" s="114"/>
      <c r="E1" s="115"/>
      <c r="F1" s="115"/>
    </row>
    <row r="2" spans="1:6" ht="27" customHeight="1">
      <c r="A2" s="115"/>
      <c r="B2" s="115"/>
      <c r="C2" s="115"/>
      <c r="D2" s="115"/>
      <c r="E2" s="115"/>
      <c r="F2" s="115"/>
    </row>
    <row r="3" spans="1:6" s="2" customFormat="1" ht="28.5" customHeight="1">
      <c r="C3" s="27" t="s">
        <v>14</v>
      </c>
      <c r="D3" s="27" t="s">
        <v>30</v>
      </c>
      <c r="E3" s="28" t="s">
        <v>50</v>
      </c>
      <c r="F3" s="28" t="s">
        <v>53</v>
      </c>
    </row>
    <row r="4" spans="1:6" s="2" customFormat="1">
      <c r="C4" s="8"/>
      <c r="D4" s="8"/>
      <c r="E4" s="18" t="s">
        <v>25</v>
      </c>
      <c r="F4" s="8" t="s">
        <v>25</v>
      </c>
    </row>
    <row r="5" spans="1:6">
      <c r="A5" s="2" t="s">
        <v>31</v>
      </c>
      <c r="B5" s="115"/>
      <c r="C5" s="115"/>
      <c r="D5" s="115"/>
      <c r="E5" s="115"/>
      <c r="F5" s="115"/>
    </row>
    <row r="6" spans="1:6">
      <c r="A6" s="116" t="s">
        <v>3</v>
      </c>
      <c r="B6" s="116"/>
      <c r="C6" s="117">
        <v>5.1749999999999998</v>
      </c>
      <c r="D6" s="117">
        <f t="shared" ref="D6:D11" si="0">C6</f>
        <v>5.1749999999999998</v>
      </c>
      <c r="E6" s="120">
        <v>2535.75</v>
      </c>
      <c r="F6" s="130">
        <v>52500</v>
      </c>
    </row>
    <row r="7" spans="1:6">
      <c r="A7" s="116" t="s">
        <v>4</v>
      </c>
      <c r="B7" s="116"/>
      <c r="C7" s="117">
        <v>4.26</v>
      </c>
      <c r="D7" s="117">
        <f t="shared" si="0"/>
        <v>4.26</v>
      </c>
      <c r="E7" s="120"/>
      <c r="F7" s="130"/>
    </row>
    <row r="8" spans="1:6">
      <c r="A8" s="116" t="s">
        <v>20</v>
      </c>
      <c r="B8" s="116"/>
      <c r="C8" s="117">
        <v>0.78200000000000003</v>
      </c>
      <c r="D8" s="117">
        <f t="shared" si="0"/>
        <v>0.78200000000000003</v>
      </c>
      <c r="E8" s="120">
        <v>539.58000000000004</v>
      </c>
      <c r="F8" s="130">
        <v>69000</v>
      </c>
    </row>
    <row r="9" spans="1:6">
      <c r="A9" s="116" t="s">
        <v>5</v>
      </c>
      <c r="B9" s="116"/>
      <c r="C9" s="117">
        <v>1.9</v>
      </c>
      <c r="D9" s="117">
        <f t="shared" si="0"/>
        <v>1.9</v>
      </c>
      <c r="E9" s="120">
        <f>69000*C9/100</f>
        <v>1311</v>
      </c>
      <c r="F9" s="130">
        <v>69000</v>
      </c>
    </row>
    <row r="10" spans="1:6">
      <c r="A10" s="116" t="s">
        <v>32</v>
      </c>
      <c r="B10" s="116"/>
      <c r="C10" s="131">
        <f>1.53*1.4</f>
        <v>2.1419999999999999</v>
      </c>
      <c r="D10" s="131">
        <f t="shared" si="0"/>
        <v>2.1419999999999999</v>
      </c>
      <c r="E10" s="121">
        <f>743.58*1.4</f>
        <v>1041.0119999999999</v>
      </c>
      <c r="F10" s="130">
        <v>48600</v>
      </c>
    </row>
    <row r="11" spans="1:6">
      <c r="A11" s="116"/>
      <c r="B11" s="116"/>
      <c r="C11" s="117">
        <f>SUM(C6:C10)</f>
        <v>14.258999999999999</v>
      </c>
      <c r="D11" s="117">
        <f t="shared" si="0"/>
        <v>14.258999999999999</v>
      </c>
      <c r="E11" s="121"/>
      <c r="F11" s="130"/>
    </row>
    <row r="12" spans="1:6">
      <c r="A12" s="115"/>
      <c r="B12" s="115"/>
      <c r="C12" s="118"/>
      <c r="D12" s="118"/>
      <c r="E12" s="115"/>
      <c r="F12" s="115"/>
    </row>
    <row r="13" spans="1:6">
      <c r="A13" s="2" t="s">
        <v>33</v>
      </c>
      <c r="B13" s="115"/>
      <c r="C13" s="117"/>
      <c r="D13" s="117"/>
      <c r="E13" s="115"/>
      <c r="F13" s="115"/>
    </row>
    <row r="14" spans="1:6">
      <c r="A14" s="116" t="s">
        <v>7</v>
      </c>
      <c r="B14" s="116" t="s">
        <v>34</v>
      </c>
      <c r="C14" s="117">
        <v>0</v>
      </c>
      <c r="D14" s="117">
        <v>8</v>
      </c>
      <c r="E14" s="115"/>
      <c r="F14" s="115"/>
    </row>
    <row r="15" spans="1:6">
      <c r="A15" s="116" t="s">
        <v>35</v>
      </c>
      <c r="B15" s="116" t="s">
        <v>34</v>
      </c>
      <c r="C15" s="117">
        <v>0</v>
      </c>
      <c r="D15" s="117">
        <f>9.91-4</f>
        <v>5.91</v>
      </c>
      <c r="E15" s="115"/>
      <c r="F15" s="115"/>
    </row>
    <row r="16" spans="1:6">
      <c r="A16" s="116" t="s">
        <v>36</v>
      </c>
      <c r="B16" s="116" t="s">
        <v>37</v>
      </c>
      <c r="C16" s="117">
        <v>2</v>
      </c>
      <c r="D16" s="117">
        <v>4</v>
      </c>
      <c r="E16" s="115"/>
      <c r="F16" s="115"/>
    </row>
    <row r="17" spans="1:4">
      <c r="A17" s="116" t="s">
        <v>38</v>
      </c>
      <c r="B17" s="115"/>
      <c r="C17" s="131">
        <v>2</v>
      </c>
      <c r="D17" s="131">
        <f>C17</f>
        <v>2</v>
      </c>
    </row>
    <row r="18" spans="1:4">
      <c r="A18" s="116"/>
      <c r="B18" s="115"/>
      <c r="C18" s="117">
        <f>SUM(C14:C17)</f>
        <v>4</v>
      </c>
      <c r="D18" s="117">
        <f>SUM(D14:D17)</f>
        <v>19.91</v>
      </c>
    </row>
    <row r="19" spans="1:4">
      <c r="A19" s="116"/>
      <c r="B19" s="26"/>
      <c r="C19" s="117"/>
      <c r="D19" s="117"/>
    </row>
    <row r="20" spans="1:4" s="2" customFormat="1">
      <c r="A20" s="2" t="s">
        <v>51</v>
      </c>
      <c r="C20" s="10">
        <f>C18+C11</f>
        <v>18.259</v>
      </c>
      <c r="D20" s="10">
        <f>D18+D11</f>
        <v>34.168999999999997</v>
      </c>
    </row>
    <row r="21" spans="1:4">
      <c r="A21" s="115"/>
      <c r="B21" s="115"/>
      <c r="C21" s="117"/>
      <c r="D21" s="117"/>
    </row>
    <row r="22" spans="1:4">
      <c r="A22" s="115"/>
      <c r="B22" s="115"/>
      <c r="C22" s="117"/>
      <c r="D22" s="117"/>
    </row>
    <row r="23" spans="1:4" ht="13.9" thickBot="1">
      <c r="A23" s="115"/>
      <c r="B23" s="115"/>
      <c r="C23" s="118"/>
      <c r="D23" s="118"/>
    </row>
    <row r="24" spans="1:4" ht="17.45">
      <c r="A24" s="25" t="s">
        <v>40</v>
      </c>
      <c r="B24" s="20"/>
      <c r="C24" s="122"/>
      <c r="D24" s="123"/>
    </row>
    <row r="25" spans="1:4">
      <c r="A25" s="124"/>
      <c r="B25" s="125"/>
      <c r="C25" s="126"/>
      <c r="D25" s="127"/>
    </row>
    <row r="26" spans="1:4">
      <c r="A26" s="128" t="s">
        <v>13</v>
      </c>
      <c r="B26" s="129"/>
      <c r="C26" s="126">
        <v>20</v>
      </c>
      <c r="D26" s="127">
        <v>28.63</v>
      </c>
    </row>
    <row r="27" spans="1:4">
      <c r="A27" s="128"/>
      <c r="B27" s="129"/>
      <c r="C27" s="126"/>
      <c r="D27" s="127"/>
    </row>
    <row r="28" spans="1:4">
      <c r="A28" s="128" t="s">
        <v>41</v>
      </c>
      <c r="B28" s="129"/>
      <c r="C28" s="126">
        <f>+C26*C20/100</f>
        <v>3.6518000000000002</v>
      </c>
      <c r="D28" s="127">
        <f>+D26*D20/100</f>
        <v>9.7825846999999992</v>
      </c>
    </row>
    <row r="29" spans="1:4">
      <c r="A29" s="128"/>
      <c r="B29" s="129"/>
      <c r="C29" s="126"/>
      <c r="D29" s="127"/>
    </row>
    <row r="30" spans="1:4" s="2" customFormat="1" ht="13.9" thickBot="1">
      <c r="A30" s="21" t="s">
        <v>42</v>
      </c>
      <c r="B30" s="22"/>
      <c r="C30" s="23">
        <f>SUM(C25:C28)</f>
        <v>23.651800000000001</v>
      </c>
      <c r="D30" s="24">
        <f>SUM(D25:D28)</f>
        <v>38.412584699999996</v>
      </c>
    </row>
    <row r="31" spans="1:4" s="2" customFormat="1">
      <c r="A31" s="12"/>
      <c r="B31" s="12"/>
      <c r="C31" s="4"/>
      <c r="D31" s="4"/>
    </row>
    <row r="32" spans="1:4" s="2" customFormat="1">
      <c r="A32" s="12"/>
      <c r="B32" s="12"/>
      <c r="C32" s="4"/>
      <c r="D32" s="4"/>
    </row>
    <row r="33" spans="1:4" s="2" customFormat="1">
      <c r="A33" s="12"/>
      <c r="B33" s="12"/>
      <c r="C33" s="4"/>
      <c r="D33" s="4"/>
    </row>
    <row r="34" spans="1:4" s="2" customFormat="1">
      <c r="A34" s="12"/>
      <c r="B34" s="12"/>
      <c r="C34" s="4"/>
      <c r="D34" s="4"/>
    </row>
    <row r="35" spans="1:4">
      <c r="A35" s="2" t="s">
        <v>43</v>
      </c>
      <c r="B35" s="2"/>
      <c r="C35" s="118"/>
      <c r="D35" s="118"/>
    </row>
    <row r="36" spans="1:4">
      <c r="A36" s="2"/>
      <c r="B36" s="2"/>
      <c r="C36" s="118"/>
      <c r="D36" s="118"/>
    </row>
    <row r="37" spans="1:4">
      <c r="A37" s="29" t="s">
        <v>34</v>
      </c>
      <c r="B37" s="2"/>
      <c r="C37" s="118"/>
      <c r="D37" s="118"/>
    </row>
    <row r="38" spans="1:4">
      <c r="A38" s="132" t="s">
        <v>44</v>
      </c>
      <c r="B38" s="119"/>
      <c r="C38" s="115"/>
      <c r="D38" s="118"/>
    </row>
    <row r="39" spans="1:4">
      <c r="A39" s="132"/>
      <c r="B39" s="119"/>
      <c r="C39" s="115"/>
      <c r="D39" s="118"/>
    </row>
    <row r="40" spans="1:4">
      <c r="A40" s="132" t="s">
        <v>45</v>
      </c>
      <c r="B40" s="119"/>
      <c r="C40" s="115"/>
      <c r="D40" s="115"/>
    </row>
    <row r="41" spans="1:4">
      <c r="A41" s="133"/>
      <c r="B41" s="115"/>
      <c r="C41" s="115"/>
      <c r="D41" s="115"/>
    </row>
    <row r="42" spans="1:4">
      <c r="A42" s="30" t="s">
        <v>37</v>
      </c>
      <c r="B42" s="115"/>
      <c r="C42" s="115"/>
      <c r="D42" s="115"/>
    </row>
    <row r="43" spans="1:4" ht="13.5" customHeight="1">
      <c r="A43" s="132" t="s">
        <v>46</v>
      </c>
      <c r="B43" s="119"/>
      <c r="C43" s="115"/>
      <c r="D43" s="118"/>
    </row>
    <row r="44" spans="1:4" ht="13.5" customHeight="1">
      <c r="A44" s="132" t="s">
        <v>47</v>
      </c>
      <c r="B44" s="119"/>
      <c r="C44" s="118"/>
      <c r="D44" s="118"/>
    </row>
    <row r="45" spans="1:4" ht="13.5" customHeight="1">
      <c r="A45" s="132" t="s">
        <v>48</v>
      </c>
      <c r="B45" s="115"/>
      <c r="C45" s="115"/>
      <c r="D45" s="115"/>
    </row>
  </sheetData>
  <mergeCells count="1">
    <mergeCell ref="A1:D1"/>
  </mergeCells>
  <printOptions horizontalCentered="1" gridLines="1"/>
  <pageMargins left="0.47" right="0.2" top="0.98425196850393704" bottom="0.98425196850393704" header="0.51181102362204722" footer="0.51181102362204722"/>
  <pageSetup orientation="portrait" r:id="rId1"/>
  <headerFooter alignWithMargins="0">
    <oddFooter>&amp;L&amp;8&amp;Z&amp;F/&amp;A&amp;R&amp;8&amp;D  &amp;T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"/>
  <sheetViews>
    <sheetView workbookViewId="0">
      <selection activeCell="C7" sqref="C7:D7"/>
    </sheetView>
  </sheetViews>
  <sheetFormatPr defaultColWidth="11.42578125" defaultRowHeight="13.15"/>
  <cols>
    <col min="1" max="1" width="28.5703125" style="13" customWidth="1"/>
    <col min="2" max="2" width="8.5703125" style="13" customWidth="1"/>
    <col min="3" max="3" width="17.28515625" style="13" customWidth="1"/>
    <col min="4" max="4" width="16.5703125" style="13" customWidth="1"/>
    <col min="5" max="5" width="14.85546875" style="13" customWidth="1"/>
    <col min="6" max="6" width="13.85546875" style="13" customWidth="1"/>
    <col min="7" max="16384" width="11.42578125" style="13"/>
  </cols>
  <sheetData>
    <row r="1" spans="1:6" ht="22.9">
      <c r="A1" s="111" t="s">
        <v>54</v>
      </c>
      <c r="B1" s="111"/>
      <c r="C1" s="114"/>
      <c r="D1" s="114"/>
      <c r="E1" s="115"/>
      <c r="F1" s="115"/>
    </row>
    <row r="2" spans="1:6" ht="27" customHeight="1">
      <c r="A2" s="115"/>
      <c r="B2" s="115"/>
      <c r="C2" s="115"/>
      <c r="D2" s="115"/>
      <c r="E2" s="115"/>
      <c r="F2" s="115"/>
    </row>
    <row r="3" spans="1:6" s="2" customFormat="1" ht="28.5" customHeight="1">
      <c r="C3" s="27" t="s">
        <v>14</v>
      </c>
      <c r="D3" s="27" t="s">
        <v>30</v>
      </c>
      <c r="E3" s="28" t="s">
        <v>50</v>
      </c>
      <c r="F3" s="28" t="s">
        <v>53</v>
      </c>
    </row>
    <row r="4" spans="1:6" s="2" customFormat="1">
      <c r="C4" s="8"/>
      <c r="D4" s="8"/>
      <c r="E4" s="18" t="s">
        <v>25</v>
      </c>
      <c r="F4" s="8" t="s">
        <v>25</v>
      </c>
    </row>
    <row r="5" spans="1:6">
      <c r="A5" s="2" t="s">
        <v>31</v>
      </c>
      <c r="B5" s="115"/>
      <c r="C5" s="115"/>
      <c r="D5" s="115"/>
      <c r="E5" s="115"/>
      <c r="F5" s="115"/>
    </row>
    <row r="6" spans="1:6">
      <c r="A6" s="116" t="s">
        <v>3</v>
      </c>
      <c r="B6" s="116"/>
      <c r="C6" s="117">
        <v>5.25</v>
      </c>
      <c r="D6" s="117">
        <f t="shared" ref="D6:D11" si="0">C6</f>
        <v>5.25</v>
      </c>
      <c r="E6" s="120">
        <v>2630.25</v>
      </c>
      <c r="F6" s="130">
        <v>53600</v>
      </c>
    </row>
    <row r="7" spans="1:6">
      <c r="A7" s="116" t="s">
        <v>4</v>
      </c>
      <c r="B7" s="116"/>
      <c r="C7" s="117">
        <v>4.26</v>
      </c>
      <c r="D7" s="117">
        <f t="shared" si="0"/>
        <v>4.26</v>
      </c>
      <c r="E7" s="120"/>
      <c r="F7" s="130"/>
    </row>
    <row r="8" spans="1:6">
      <c r="A8" s="116" t="s">
        <v>20</v>
      </c>
      <c r="B8" s="116"/>
      <c r="C8" s="117">
        <v>0.78200000000000003</v>
      </c>
      <c r="D8" s="117">
        <f t="shared" si="0"/>
        <v>0.78200000000000003</v>
      </c>
      <c r="E8" s="120">
        <v>547.4</v>
      </c>
      <c r="F8" s="130">
        <v>70000</v>
      </c>
    </row>
    <row r="9" spans="1:6">
      <c r="A9" s="116" t="s">
        <v>5</v>
      </c>
      <c r="B9" s="116"/>
      <c r="C9" s="117">
        <v>2.13</v>
      </c>
      <c r="D9" s="117">
        <f t="shared" si="0"/>
        <v>2.13</v>
      </c>
      <c r="E9" s="120">
        <f>70000*C9/100</f>
        <v>1491</v>
      </c>
      <c r="F9" s="130">
        <v>70000</v>
      </c>
    </row>
    <row r="10" spans="1:6">
      <c r="A10" s="116" t="s">
        <v>32</v>
      </c>
      <c r="B10" s="116"/>
      <c r="C10" s="131">
        <f>1.54*1.4</f>
        <v>2.1559999999999997</v>
      </c>
      <c r="D10" s="131">
        <f t="shared" si="0"/>
        <v>2.1559999999999997</v>
      </c>
      <c r="E10" s="121">
        <f>762.3*1.4</f>
        <v>1067.2199999999998</v>
      </c>
      <c r="F10" s="130">
        <v>49500</v>
      </c>
    </row>
    <row r="11" spans="1:6">
      <c r="A11" s="116"/>
      <c r="B11" s="116"/>
      <c r="C11" s="117">
        <f>SUM(C6:C10)</f>
        <v>14.577999999999999</v>
      </c>
      <c r="D11" s="117">
        <f t="shared" si="0"/>
        <v>14.577999999999999</v>
      </c>
      <c r="E11" s="121"/>
      <c r="F11" s="130"/>
    </row>
    <row r="12" spans="1:6">
      <c r="A12" s="115"/>
      <c r="B12" s="115"/>
      <c r="C12" s="118"/>
      <c r="D12" s="118"/>
      <c r="E12" s="115"/>
      <c r="F12" s="115"/>
    </row>
    <row r="13" spans="1:6">
      <c r="A13" s="2" t="s">
        <v>33</v>
      </c>
      <c r="B13" s="115"/>
      <c r="C13" s="117"/>
      <c r="D13" s="117"/>
      <c r="E13" s="115"/>
      <c r="F13" s="115"/>
    </row>
    <row r="14" spans="1:6">
      <c r="A14" s="116" t="s">
        <v>7</v>
      </c>
      <c r="B14" s="116" t="s">
        <v>34</v>
      </c>
      <c r="C14" s="117">
        <v>0</v>
      </c>
      <c r="D14" s="117">
        <v>8</v>
      </c>
      <c r="E14" s="115"/>
      <c r="F14" s="115"/>
    </row>
    <row r="15" spans="1:6">
      <c r="A15" s="116" t="s">
        <v>35</v>
      </c>
      <c r="B15" s="116" t="s">
        <v>34</v>
      </c>
      <c r="C15" s="117">
        <v>0</v>
      </c>
      <c r="D15" s="117">
        <f>9.91-4</f>
        <v>5.91</v>
      </c>
      <c r="E15" s="115"/>
      <c r="F15" s="115"/>
    </row>
    <row r="16" spans="1:6">
      <c r="A16" s="116" t="s">
        <v>36</v>
      </c>
      <c r="B16" s="116" t="s">
        <v>37</v>
      </c>
      <c r="C16" s="117">
        <v>2</v>
      </c>
      <c r="D16" s="117">
        <v>4</v>
      </c>
      <c r="E16" s="115"/>
      <c r="F16" s="115"/>
    </row>
    <row r="17" spans="1:4">
      <c r="A17" s="116" t="s">
        <v>38</v>
      </c>
      <c r="B17" s="115"/>
      <c r="C17" s="131">
        <v>2</v>
      </c>
      <c r="D17" s="131">
        <f>C17</f>
        <v>2</v>
      </c>
    </row>
    <row r="18" spans="1:4">
      <c r="A18" s="116"/>
      <c r="B18" s="115"/>
      <c r="C18" s="117">
        <f>SUM(C14:C17)</f>
        <v>4</v>
      </c>
      <c r="D18" s="117">
        <f>SUM(D14:D17)</f>
        <v>19.91</v>
      </c>
    </row>
    <row r="19" spans="1:4">
      <c r="A19" s="116"/>
      <c r="B19" s="26"/>
      <c r="C19" s="117"/>
      <c r="D19" s="117"/>
    </row>
    <row r="20" spans="1:4" s="2" customFormat="1">
      <c r="A20" s="2" t="s">
        <v>51</v>
      </c>
      <c r="C20" s="10">
        <f>C18+C11</f>
        <v>18.577999999999999</v>
      </c>
      <c r="D20" s="10">
        <f>D18+D11</f>
        <v>34.488</v>
      </c>
    </row>
    <row r="21" spans="1:4">
      <c r="A21" s="115"/>
      <c r="B21" s="115"/>
      <c r="C21" s="117"/>
      <c r="D21" s="117"/>
    </row>
    <row r="22" spans="1:4">
      <c r="A22" s="115"/>
      <c r="B22" s="115"/>
      <c r="C22" s="117"/>
      <c r="D22" s="117"/>
    </row>
    <row r="23" spans="1:4" ht="13.9" thickBot="1">
      <c r="A23" s="115"/>
      <c r="B23" s="115"/>
      <c r="C23" s="118"/>
      <c r="D23" s="118"/>
    </row>
    <row r="24" spans="1:4" ht="17.45">
      <c r="A24" s="25" t="s">
        <v>40</v>
      </c>
      <c r="B24" s="20"/>
      <c r="C24" s="122"/>
      <c r="D24" s="123"/>
    </row>
    <row r="25" spans="1:4">
      <c r="A25" s="124"/>
      <c r="B25" s="125"/>
      <c r="C25" s="126"/>
      <c r="D25" s="127"/>
    </row>
    <row r="26" spans="1:4">
      <c r="A26" s="128" t="s">
        <v>13</v>
      </c>
      <c r="B26" s="129"/>
      <c r="C26" s="126">
        <v>20</v>
      </c>
      <c r="D26" s="127">
        <v>28.63</v>
      </c>
    </row>
    <row r="27" spans="1:4">
      <c r="A27" s="128"/>
      <c r="B27" s="129"/>
      <c r="C27" s="126"/>
      <c r="D27" s="127"/>
    </row>
    <row r="28" spans="1:4">
      <c r="A28" s="128" t="s">
        <v>41</v>
      </c>
      <c r="B28" s="129"/>
      <c r="C28" s="126">
        <f>+C26*C20/100</f>
        <v>3.7156000000000002</v>
      </c>
      <c r="D28" s="127">
        <f>+D26*D20/100</f>
        <v>9.8739144000000003</v>
      </c>
    </row>
    <row r="29" spans="1:4">
      <c r="A29" s="128"/>
      <c r="B29" s="129"/>
      <c r="C29" s="126"/>
      <c r="D29" s="127"/>
    </row>
    <row r="30" spans="1:4" s="2" customFormat="1" ht="13.9" thickBot="1">
      <c r="A30" s="21" t="s">
        <v>42</v>
      </c>
      <c r="B30" s="22"/>
      <c r="C30" s="23">
        <f>SUM(C25:C28)</f>
        <v>23.715600000000002</v>
      </c>
      <c r="D30" s="24">
        <f>SUM(D25:D28)</f>
        <v>38.503914399999999</v>
      </c>
    </row>
    <row r="31" spans="1:4" s="2" customFormat="1">
      <c r="A31" s="12"/>
      <c r="B31" s="12"/>
      <c r="C31" s="4"/>
      <c r="D31" s="4"/>
    </row>
    <row r="32" spans="1:4" s="2" customFormat="1">
      <c r="A32" s="12"/>
      <c r="B32" s="12"/>
      <c r="C32" s="4"/>
      <c r="D32" s="4"/>
    </row>
    <row r="33" spans="1:4" s="2" customFormat="1">
      <c r="A33" s="12"/>
      <c r="B33" s="12"/>
      <c r="C33" s="4"/>
      <c r="D33" s="4"/>
    </row>
    <row r="34" spans="1:4" s="2" customFormat="1">
      <c r="A34" s="12"/>
      <c r="B34" s="12"/>
      <c r="C34" s="4"/>
      <c r="D34" s="4"/>
    </row>
    <row r="35" spans="1:4">
      <c r="A35" s="2" t="s">
        <v>43</v>
      </c>
      <c r="B35" s="2"/>
      <c r="C35" s="118"/>
      <c r="D35" s="118"/>
    </row>
    <row r="36" spans="1:4">
      <c r="A36" s="2"/>
      <c r="B36" s="2"/>
      <c r="C36" s="118"/>
      <c r="D36" s="118"/>
    </row>
    <row r="37" spans="1:4">
      <c r="A37" s="29" t="s">
        <v>34</v>
      </c>
      <c r="B37" s="2"/>
      <c r="C37" s="118"/>
      <c r="D37" s="118"/>
    </row>
    <row r="38" spans="1:4">
      <c r="A38" s="132" t="s">
        <v>44</v>
      </c>
      <c r="B38" s="119"/>
      <c r="C38" s="115"/>
      <c r="D38" s="118"/>
    </row>
    <row r="39" spans="1:4">
      <c r="A39" s="132"/>
      <c r="B39" s="119"/>
      <c r="C39" s="115"/>
      <c r="D39" s="118"/>
    </row>
    <row r="40" spans="1:4">
      <c r="A40" s="132" t="s">
        <v>45</v>
      </c>
      <c r="B40" s="119"/>
      <c r="C40" s="115"/>
      <c r="D40" s="115"/>
    </row>
    <row r="41" spans="1:4">
      <c r="A41" s="133"/>
      <c r="B41" s="115"/>
      <c r="C41" s="115"/>
      <c r="D41" s="115"/>
    </row>
    <row r="42" spans="1:4">
      <c r="A42" s="30" t="s">
        <v>37</v>
      </c>
      <c r="B42" s="115"/>
      <c r="C42" s="115"/>
      <c r="D42" s="115"/>
    </row>
    <row r="43" spans="1:4" ht="13.5" customHeight="1">
      <c r="A43" s="132" t="s">
        <v>46</v>
      </c>
      <c r="B43" s="119"/>
      <c r="C43" s="115"/>
      <c r="D43" s="118"/>
    </row>
    <row r="44" spans="1:4" ht="13.5" customHeight="1">
      <c r="A44" s="132" t="s">
        <v>47</v>
      </c>
      <c r="B44" s="119"/>
      <c r="C44" s="118"/>
      <c r="D44" s="118"/>
    </row>
    <row r="45" spans="1:4" ht="13.5" customHeight="1">
      <c r="A45" s="132" t="s">
        <v>48</v>
      </c>
      <c r="B45" s="115"/>
      <c r="C45" s="115"/>
      <c r="D45" s="115"/>
    </row>
  </sheetData>
  <mergeCells count="1">
    <mergeCell ref="A1:D1"/>
  </mergeCells>
  <printOptions horizontalCentered="1" gridLines="1"/>
  <pageMargins left="0.47" right="0.2" top="0.98425196850393704" bottom="0.98425196850393704" header="0.51181102362204722" footer="0.51181102362204722"/>
  <pageSetup orientation="portrait" r:id="rId1"/>
  <headerFooter alignWithMargins="0">
    <oddFooter>&amp;L&amp;8&amp;Z&amp;F/&amp;A&amp;R&amp;8&amp;D  &amp;T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5"/>
  <sheetViews>
    <sheetView workbookViewId="0"/>
  </sheetViews>
  <sheetFormatPr defaultColWidth="11.42578125" defaultRowHeight="13.15"/>
  <cols>
    <col min="2" max="2" width="12.5703125" customWidth="1"/>
    <col min="10" max="10" width="12.28515625" bestFit="1" customWidth="1"/>
    <col min="12" max="12" width="12.7109375" customWidth="1"/>
  </cols>
  <sheetData>
    <row r="1" spans="1:11" ht="17.45">
      <c r="A1" s="31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1" ht="14.45">
      <c r="A2" s="32" t="s">
        <v>56</v>
      </c>
      <c r="B2" s="8"/>
      <c r="C2" s="115"/>
      <c r="D2" s="115"/>
      <c r="E2" s="115"/>
      <c r="F2" s="115"/>
      <c r="G2" s="115"/>
      <c r="H2" s="8"/>
      <c r="I2" s="33"/>
      <c r="J2" s="8"/>
    </row>
    <row r="3" spans="1:11" ht="14.45">
      <c r="A3" s="32"/>
      <c r="B3" s="8"/>
      <c r="C3" s="115"/>
      <c r="D3" s="115"/>
      <c r="E3" s="115"/>
      <c r="F3" s="115"/>
      <c r="G3" s="115"/>
      <c r="H3" s="8"/>
      <c r="I3" s="33"/>
      <c r="J3" s="8"/>
    </row>
    <row r="4" spans="1:11" ht="13.9">
      <c r="A4" s="59" t="s">
        <v>57</v>
      </c>
      <c r="B4" s="8"/>
      <c r="C4" s="115"/>
      <c r="D4" s="115"/>
      <c r="E4" s="115"/>
      <c r="F4" s="115"/>
      <c r="G4" s="115"/>
      <c r="H4" s="8"/>
      <c r="I4" s="33"/>
      <c r="J4" s="8"/>
    </row>
    <row r="5" spans="1:11" ht="14.45">
      <c r="A5" s="32"/>
      <c r="B5" s="8"/>
      <c r="C5" s="115"/>
      <c r="D5" s="115"/>
      <c r="E5" s="115"/>
      <c r="F5" s="115"/>
      <c r="G5" s="115"/>
      <c r="H5" s="8"/>
      <c r="I5" s="33"/>
      <c r="J5" s="8"/>
    </row>
    <row r="6" spans="1:11" ht="66">
      <c r="A6" s="39" t="s">
        <v>58</v>
      </c>
      <c r="B6" s="37" t="s">
        <v>59</v>
      </c>
      <c r="C6" s="38" t="s">
        <v>60</v>
      </c>
      <c r="D6" s="38" t="s">
        <v>61</v>
      </c>
      <c r="E6" s="38" t="s">
        <v>20</v>
      </c>
      <c r="F6" s="38" t="s">
        <v>5</v>
      </c>
      <c r="G6" s="38" t="s">
        <v>62</v>
      </c>
      <c r="H6" s="37" t="s">
        <v>63</v>
      </c>
      <c r="I6" s="37" t="s">
        <v>64</v>
      </c>
      <c r="J6" s="40" t="s">
        <v>65</v>
      </c>
    </row>
    <row r="7" spans="1:11">
      <c r="A7" s="41"/>
      <c r="B7" s="42"/>
      <c r="C7" s="51" t="s">
        <v>66</v>
      </c>
      <c r="D7" s="51" t="s">
        <v>67</v>
      </c>
      <c r="E7" s="51" t="s">
        <v>66</v>
      </c>
      <c r="F7" s="51" t="s">
        <v>66</v>
      </c>
      <c r="G7" s="51" t="s">
        <v>66</v>
      </c>
      <c r="H7" s="52" t="s">
        <v>68</v>
      </c>
      <c r="I7" s="42"/>
      <c r="J7" s="48"/>
    </row>
    <row r="8" spans="1:11">
      <c r="A8" s="43"/>
      <c r="B8" s="44"/>
      <c r="C8" s="53">
        <v>2535.75</v>
      </c>
      <c r="D8" s="53"/>
      <c r="E8" s="53">
        <v>539.58000000000004</v>
      </c>
      <c r="F8" s="53">
        <v>1311</v>
      </c>
      <c r="G8" s="53">
        <v>1041.01</v>
      </c>
      <c r="H8" s="53" t="s">
        <v>69</v>
      </c>
      <c r="I8" s="53"/>
      <c r="J8" s="49"/>
    </row>
    <row r="9" spans="1:11">
      <c r="A9" s="45"/>
      <c r="B9" s="44"/>
      <c r="C9" s="54">
        <v>5.1749999999999997E-2</v>
      </c>
      <c r="D9" s="55">
        <v>4.2599999999999999E-2</v>
      </c>
      <c r="E9" s="54">
        <v>7.8200000000000006E-3</v>
      </c>
      <c r="F9" s="55">
        <v>1.9E-2</v>
      </c>
      <c r="G9" s="54">
        <v>2.1420000000000002E-2</v>
      </c>
      <c r="H9" s="55">
        <v>0.02</v>
      </c>
      <c r="I9" s="55">
        <v>0.02</v>
      </c>
      <c r="J9" s="49"/>
    </row>
    <row r="10" spans="1:11">
      <c r="A10" s="46"/>
      <c r="B10" s="47"/>
      <c r="C10" s="56">
        <v>52500</v>
      </c>
      <c r="D10" s="57"/>
      <c r="E10" s="56">
        <v>69000</v>
      </c>
      <c r="F10" s="56">
        <v>69000</v>
      </c>
      <c r="G10" s="56">
        <v>48600</v>
      </c>
      <c r="H10" s="47"/>
      <c r="I10" s="58"/>
      <c r="J10" s="50"/>
    </row>
    <row r="11" spans="1:11" s="67" customFormat="1">
      <c r="A11" s="65">
        <v>12</v>
      </c>
      <c r="B11" s="134">
        <f t="shared" ref="B11:B14" si="0">A11*35*52</f>
        <v>21840</v>
      </c>
      <c r="C11" s="134">
        <f>IF($B11*$C$9&lt;$C$8,$B11*$C$9,$C$8)</f>
        <v>1130.22</v>
      </c>
      <c r="D11" s="134">
        <f>$B11*$D$9</f>
        <v>930.38400000000001</v>
      </c>
      <c r="E11" s="134">
        <f>IF($B11*$E$9&lt;$E$8,$B11*$E$9,$E$8)</f>
        <v>170.78880000000001</v>
      </c>
      <c r="F11" s="134">
        <f>IF($B11*$F$9&lt;$F$8,$B11*$F$9,$F$8)</f>
        <v>414.96</v>
      </c>
      <c r="G11" s="134">
        <f>IF($B11*$G$9&lt;$G$8,$B11*$G$9,$G$8)</f>
        <v>467.81280000000004</v>
      </c>
      <c r="H11" s="134">
        <f>$B11*$H$9</f>
        <v>436.8</v>
      </c>
      <c r="I11" s="134">
        <f>$B11*$I$9</f>
        <v>436.8</v>
      </c>
      <c r="J11" s="134">
        <f>SUM(B11:I11)</f>
        <v>25827.765599999995</v>
      </c>
      <c r="K11" s="66">
        <f>(+J11-B11)/B11</f>
        <v>0.18258999999999978</v>
      </c>
    </row>
    <row r="12" spans="1:11">
      <c r="A12" s="34">
        <v>49.76</v>
      </c>
      <c r="B12" s="135">
        <f t="shared" si="0"/>
        <v>90563.199999999997</v>
      </c>
      <c r="C12" s="135">
        <f>IF($B12*$C$9&lt;$C$8,$B12*$C$9,$C$8)</f>
        <v>2535.75</v>
      </c>
      <c r="D12" s="135">
        <f>$B12*$D$9</f>
        <v>3857.9923199999998</v>
      </c>
      <c r="E12" s="135">
        <f>IF($B12*$E$9&lt;$E$8,$B12*$E$9,$E$8)</f>
        <v>539.58000000000004</v>
      </c>
      <c r="F12" s="135">
        <f>IF($B12*$F$9&lt;$F$8,$B12*$F$9,$F$8)</f>
        <v>1311</v>
      </c>
      <c r="G12" s="135">
        <f>IF($B12*$G$9&lt;$G$8,$B12*$G$9,$G$8)</f>
        <v>1041.01</v>
      </c>
      <c r="H12" s="135">
        <f>$B12*$H$9</f>
        <v>1811.2639999999999</v>
      </c>
      <c r="I12" s="135">
        <f>$B12*$I$9</f>
        <v>1811.2639999999999</v>
      </c>
      <c r="J12" s="135">
        <f t="shared" ref="J12:J14" si="1">SUM(B12:I12)</f>
        <v>103471.06031999999</v>
      </c>
      <c r="K12" s="64">
        <f t="shared" ref="K12:K14" si="2">(+J12-B12)/B12</f>
        <v>0.14252875693438385</v>
      </c>
    </row>
    <row r="13" spans="1:11">
      <c r="A13" s="34">
        <v>31.61</v>
      </c>
      <c r="B13" s="135">
        <f t="shared" si="0"/>
        <v>57530.2</v>
      </c>
      <c r="C13" s="135">
        <f>IF($B13*$C$9&lt;$C$8,$B13*$C$9,$C$8)</f>
        <v>2535.75</v>
      </c>
      <c r="D13" s="135">
        <f>$B13*$D$9</f>
        <v>2450.7865199999997</v>
      </c>
      <c r="E13" s="135">
        <f>IF($B13*$E$9&lt;$E$8,$B13*$E$9,$E$8)</f>
        <v>449.88616400000001</v>
      </c>
      <c r="F13" s="135">
        <f>IF($B13*$F$9&lt;$F$8,$B13*$F$9,$F$8)</f>
        <v>1093.0737999999999</v>
      </c>
      <c r="G13" s="135">
        <f>IF($B13*$G$9&lt;$G$8,$B13*$G$9,$G$8)</f>
        <v>1041.01</v>
      </c>
      <c r="H13" s="135">
        <f>$B13*$H$9</f>
        <v>1150.604</v>
      </c>
      <c r="I13" s="135">
        <f>$B13*$I$9</f>
        <v>1150.604</v>
      </c>
      <c r="J13" s="135">
        <f t="shared" si="1"/>
        <v>67401.914484000008</v>
      </c>
      <c r="K13" s="64">
        <f t="shared" si="2"/>
        <v>0.17159186799281093</v>
      </c>
    </row>
    <row r="14" spans="1:11">
      <c r="A14" s="34">
        <v>18</v>
      </c>
      <c r="B14" s="135">
        <f t="shared" si="0"/>
        <v>32760</v>
      </c>
      <c r="C14" s="135">
        <f>IF($B14*$C$9&lt;$C$8,$B14*$C$9,$C$8)</f>
        <v>1695.33</v>
      </c>
      <c r="D14" s="135">
        <f>$B14*$D$9</f>
        <v>1395.576</v>
      </c>
      <c r="E14" s="135">
        <f>IF($B14*$E$9&lt;$E$8,$B14*$E$9,$E$8)</f>
        <v>256.1832</v>
      </c>
      <c r="F14" s="135">
        <f>IF($B14*$F$9&lt;$F$8,$B14*$F$9,$F$8)</f>
        <v>622.43999999999994</v>
      </c>
      <c r="G14" s="135">
        <f>IF($B14*$G$9&lt;$G$8,$B14*$G$9,$G$8)</f>
        <v>701.7192</v>
      </c>
      <c r="H14" s="135">
        <f>$B14*$H$9</f>
        <v>655.20000000000005</v>
      </c>
      <c r="I14" s="135">
        <f>$B14*$I$9</f>
        <v>655.20000000000005</v>
      </c>
      <c r="J14" s="135">
        <f t="shared" si="1"/>
        <v>38741.648399999998</v>
      </c>
      <c r="K14" s="64">
        <f t="shared" si="2"/>
        <v>0.18258999999999995</v>
      </c>
    </row>
    <row r="15" spans="1:11">
      <c r="A15" s="26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1" ht="13.9" thickBot="1">
      <c r="A16" s="35" t="s">
        <v>70</v>
      </c>
      <c r="B16" s="36">
        <f t="shared" ref="B16:J16" si="3">SUM(B11:B14)</f>
        <v>202693.4</v>
      </c>
      <c r="C16" s="36">
        <f t="shared" si="3"/>
        <v>7897.05</v>
      </c>
      <c r="D16" s="36">
        <f t="shared" si="3"/>
        <v>8634.7388399999982</v>
      </c>
      <c r="E16" s="36">
        <f t="shared" si="3"/>
        <v>1416.4381640000001</v>
      </c>
      <c r="F16" s="36">
        <f t="shared" si="3"/>
        <v>3441.4738000000002</v>
      </c>
      <c r="G16" s="36">
        <f t="shared" si="3"/>
        <v>3251.5520000000001</v>
      </c>
      <c r="H16" s="36">
        <f t="shared" si="3"/>
        <v>4053.8679999999995</v>
      </c>
      <c r="I16" s="36">
        <f t="shared" si="3"/>
        <v>4053.8679999999995</v>
      </c>
      <c r="J16" s="36">
        <f t="shared" si="3"/>
        <v>235442.38880399999</v>
      </c>
    </row>
    <row r="17" spans="1:13" ht="13.9" thickTop="1"/>
    <row r="18" spans="1:13">
      <c r="A18" s="26" t="s">
        <v>71</v>
      </c>
    </row>
    <row r="20" spans="1:13" ht="13.9">
      <c r="A20" s="59" t="s">
        <v>72</v>
      </c>
      <c r="B20" s="8"/>
      <c r="C20" s="115"/>
      <c r="D20" s="115"/>
      <c r="E20" s="115"/>
      <c r="F20" s="115"/>
      <c r="G20" s="115"/>
      <c r="H20" s="8"/>
      <c r="I20" s="33"/>
      <c r="J20" s="8"/>
    </row>
    <row r="21" spans="1:13" ht="14.45">
      <c r="A21" s="32"/>
      <c r="B21" s="8"/>
      <c r="C21" s="115"/>
      <c r="D21" s="115"/>
      <c r="E21" s="115"/>
      <c r="F21" s="115"/>
      <c r="G21" s="115"/>
      <c r="H21" s="8"/>
      <c r="I21" s="33"/>
      <c r="J21" s="8"/>
    </row>
    <row r="22" spans="1:13" ht="66">
      <c r="A22" s="60" t="s">
        <v>58</v>
      </c>
      <c r="B22" s="61" t="s">
        <v>59</v>
      </c>
      <c r="C22" s="62" t="s">
        <v>60</v>
      </c>
      <c r="D22" s="62" t="s">
        <v>61</v>
      </c>
      <c r="E22" s="62" t="s">
        <v>20</v>
      </c>
      <c r="F22" s="62" t="s">
        <v>5</v>
      </c>
      <c r="G22" s="62" t="s">
        <v>62</v>
      </c>
      <c r="H22" s="61" t="s">
        <v>63</v>
      </c>
      <c r="I22" s="61" t="s">
        <v>64</v>
      </c>
      <c r="J22" s="61" t="s">
        <v>7</v>
      </c>
      <c r="K22" s="61" t="s">
        <v>73</v>
      </c>
      <c r="L22" s="63" t="s">
        <v>65</v>
      </c>
    </row>
    <row r="23" spans="1:13">
      <c r="A23" s="41"/>
      <c r="B23" s="42"/>
      <c r="C23" s="51" t="s">
        <v>66</v>
      </c>
      <c r="D23" s="51" t="s">
        <v>67</v>
      </c>
      <c r="E23" s="51" t="s">
        <v>66</v>
      </c>
      <c r="F23" s="51" t="s">
        <v>66</v>
      </c>
      <c r="G23" s="51" t="s">
        <v>66</v>
      </c>
      <c r="H23" s="52" t="s">
        <v>68</v>
      </c>
      <c r="I23" s="42"/>
      <c r="J23" s="42"/>
      <c r="K23" s="42"/>
      <c r="L23" s="48"/>
    </row>
    <row r="24" spans="1:13">
      <c r="A24" s="43"/>
      <c r="B24" s="44"/>
      <c r="C24" s="53">
        <f t="shared" ref="C24:F24" si="4">C8</f>
        <v>2535.75</v>
      </c>
      <c r="D24" s="53"/>
      <c r="E24" s="53">
        <f t="shared" si="4"/>
        <v>539.58000000000004</v>
      </c>
      <c r="F24" s="53">
        <f t="shared" si="4"/>
        <v>1311</v>
      </c>
      <c r="G24" s="53">
        <f>G8</f>
        <v>1041.01</v>
      </c>
      <c r="H24" s="53" t="s">
        <v>69</v>
      </c>
      <c r="I24" s="53"/>
      <c r="J24" s="53"/>
      <c r="K24" s="53"/>
      <c r="L24" s="49"/>
    </row>
    <row r="25" spans="1:13">
      <c r="A25" s="45"/>
      <c r="B25" s="44"/>
      <c r="C25" s="54">
        <f t="shared" ref="C25:F25" si="5">C9</f>
        <v>5.1749999999999997E-2</v>
      </c>
      <c r="D25" s="54">
        <f>D9</f>
        <v>4.2599999999999999E-2</v>
      </c>
      <c r="E25" s="54">
        <f t="shared" si="5"/>
        <v>7.8200000000000006E-3</v>
      </c>
      <c r="F25" s="54">
        <f t="shared" si="5"/>
        <v>1.9E-2</v>
      </c>
      <c r="G25" s="54">
        <f>G9</f>
        <v>2.1420000000000002E-2</v>
      </c>
      <c r="H25" s="55">
        <v>0.04</v>
      </c>
      <c r="I25" s="55">
        <f>I9</f>
        <v>0.02</v>
      </c>
      <c r="J25" s="55">
        <v>0.08</v>
      </c>
      <c r="K25" s="55">
        <v>5.91E-2</v>
      </c>
      <c r="L25" s="49"/>
    </row>
    <row r="26" spans="1:13">
      <c r="A26" s="46"/>
      <c r="B26" s="47"/>
      <c r="C26" s="56">
        <f t="shared" ref="C26:F26" si="6">C10</f>
        <v>52500</v>
      </c>
      <c r="D26" s="56"/>
      <c r="E26" s="56">
        <f t="shared" si="6"/>
        <v>69000</v>
      </c>
      <c r="F26" s="56">
        <f t="shared" si="6"/>
        <v>69000</v>
      </c>
      <c r="G26" s="56">
        <f>G10</f>
        <v>48600</v>
      </c>
      <c r="H26" s="47"/>
      <c r="I26" s="58"/>
      <c r="J26" s="58"/>
      <c r="K26" s="58"/>
      <c r="L26" s="50"/>
    </row>
    <row r="27" spans="1:13" s="67" customFormat="1">
      <c r="A27" s="65">
        <v>12</v>
      </c>
      <c r="B27" s="134">
        <f>A27*35*(52-4-2-1)</f>
        <v>18900</v>
      </c>
      <c r="C27" s="134">
        <f>IF($B27*$C$25&lt;$C$24,$B27*$C$25,$C$24)</f>
        <v>978.07499999999993</v>
      </c>
      <c r="D27" s="134">
        <f>$B27*$D$25</f>
        <v>805.14</v>
      </c>
      <c r="E27" s="134">
        <f>IF($B27*$E$25&lt;$E$24,$B27*$E$25,$E$24)</f>
        <v>147.798</v>
      </c>
      <c r="F27" s="134">
        <f>IF($B27*$F$25&lt;$F$24,$B27*$F$25,$F$24)</f>
        <v>359.09999999999997</v>
      </c>
      <c r="G27" s="134">
        <f>IF($B27*$G$25&lt;$G$24,$B27*$G$25,$G$24)</f>
        <v>404.83800000000002</v>
      </c>
      <c r="H27" s="134">
        <f>$B27*$H$25</f>
        <v>756</v>
      </c>
      <c r="I27" s="134">
        <f>$B27*$I$25</f>
        <v>378</v>
      </c>
      <c r="J27" s="134">
        <f t="shared" ref="J27:J32" si="7">$B27*$J$25</f>
        <v>1512</v>
      </c>
      <c r="K27" s="134">
        <f t="shared" ref="K27:K32" si="8">$B27*$K$25</f>
        <v>1116.99</v>
      </c>
      <c r="L27" s="134">
        <f>SUM(B27:K27)</f>
        <v>25357.940999999999</v>
      </c>
      <c r="M27" s="66">
        <f>(+L27-B27)/B27</f>
        <v>0.34168999999999994</v>
      </c>
    </row>
    <row r="28" spans="1:13" s="67" customFormat="1">
      <c r="A28" s="65">
        <v>12</v>
      </c>
      <c r="B28" s="134">
        <f>A28*28*(52-4-2-1)</f>
        <v>15120</v>
      </c>
      <c r="C28" s="134">
        <f>IF($B28*$C$25&lt;$C$24,$B28*$C$25,$C$24)</f>
        <v>782.45999999999992</v>
      </c>
      <c r="D28" s="134">
        <f>$B28*$D$25</f>
        <v>644.11199999999997</v>
      </c>
      <c r="E28" s="134">
        <f>IF($B28*$E$25&lt;$E$24,$B28*$E$25,$E$24)</f>
        <v>118.23840000000001</v>
      </c>
      <c r="F28" s="134">
        <f>IF($B28*$F$25&lt;$F$24,$B28*$F$25,$F$24)</f>
        <v>287.27999999999997</v>
      </c>
      <c r="G28" s="134">
        <f>IF($B28*$G$25&lt;$G$24,$B28*$G$25,$G$24)</f>
        <v>323.87040000000002</v>
      </c>
      <c r="H28" s="134">
        <f>$B28*$H$25</f>
        <v>604.80000000000007</v>
      </c>
      <c r="I28" s="134">
        <f>$B28*$I$25</f>
        <v>302.40000000000003</v>
      </c>
      <c r="J28" s="134">
        <f t="shared" si="7"/>
        <v>1209.6000000000001</v>
      </c>
      <c r="K28" s="134">
        <f t="shared" si="8"/>
        <v>893.59199999999998</v>
      </c>
      <c r="L28" s="134">
        <f>SUM(B28:K28)</f>
        <v>20286.352799999997</v>
      </c>
      <c r="M28" s="66">
        <f>(+L28-B28)/B28</f>
        <v>0.34168999999999977</v>
      </c>
    </row>
    <row r="29" spans="1:13" s="67" customFormat="1">
      <c r="A29" s="65">
        <v>12</v>
      </c>
      <c r="B29" s="134">
        <f>A29*35*52</f>
        <v>21840</v>
      </c>
      <c r="C29" s="134">
        <f>IF($B29*$C$25&lt;$C$24,$B29*$C$25,$C$24)</f>
        <v>1130.22</v>
      </c>
      <c r="D29" s="134">
        <f>$B29*$D$25</f>
        <v>930.38400000000001</v>
      </c>
      <c r="E29" s="134">
        <f>IF($B29*$E$25&lt;$E$24,$B29*$E$25,$E$24)</f>
        <v>170.78880000000001</v>
      </c>
      <c r="F29" s="134">
        <f>IF($B29*$F$25&lt;$F$24,$B29*$F$25,$F$24)</f>
        <v>414.96</v>
      </c>
      <c r="G29" s="134">
        <f>IF($B29*$G$25&lt;$G$24,$B29*$G$25,$G$24)</f>
        <v>467.81280000000004</v>
      </c>
      <c r="H29" s="134">
        <f>$B29*$H$25</f>
        <v>873.6</v>
      </c>
      <c r="I29" s="134">
        <f>$B29*$I$25</f>
        <v>436.8</v>
      </c>
      <c r="J29" s="134">
        <f t="shared" si="7"/>
        <v>1747.2</v>
      </c>
      <c r="K29" s="134">
        <f t="shared" si="8"/>
        <v>1290.7439999999999</v>
      </c>
      <c r="L29" s="134">
        <f>SUM(B29:K29)</f>
        <v>29302.509599999994</v>
      </c>
      <c r="M29" s="66">
        <f>(+L29-B29)/B29</f>
        <v>0.34168999999999972</v>
      </c>
    </row>
    <row r="30" spans="1:13" s="70" customFormat="1">
      <c r="A30" s="68">
        <v>43.43</v>
      </c>
      <c r="B30" s="136">
        <f>A30*(4*7)*(52-4-2-1)</f>
        <v>54721.799999999996</v>
      </c>
      <c r="C30" s="137">
        <f t="shared" ref="C30:C31" si="9">IF($B30*$C$25&lt;$C$24,$B30*$C$25,$C$24)</f>
        <v>2535.75</v>
      </c>
      <c r="D30" s="138">
        <f t="shared" ref="D30:D31" si="10">$B30*$D$25</f>
        <v>2331.1486799999998</v>
      </c>
      <c r="E30" s="138">
        <f t="shared" ref="E30:E31" si="11">IF($B30*$E$25&lt;$E$24,$B30*$E$25,$E$24)</f>
        <v>427.92447599999997</v>
      </c>
      <c r="F30" s="138">
        <f t="shared" ref="F30:F31" si="12">IF($B30*$F$25&lt;$F$24,$B30*$F$25,$F$24)</f>
        <v>1039.7141999999999</v>
      </c>
      <c r="G30" s="139">
        <f t="shared" ref="G30:G31" si="13">IF($B30*$G$25&lt;$G$24,$B30*$G$25,$G$24)</f>
        <v>1041.01</v>
      </c>
      <c r="H30" s="140">
        <f t="shared" ref="H30:H31" si="14">$B30*$H$25</f>
        <v>2188.8719999999998</v>
      </c>
      <c r="I30" s="141">
        <f t="shared" ref="I30:I31" si="15">$B30*$I$25</f>
        <v>1094.4359999999999</v>
      </c>
      <c r="J30" s="140">
        <f t="shared" si="7"/>
        <v>4377.7439999999997</v>
      </c>
      <c r="K30" s="140">
        <f t="shared" si="8"/>
        <v>3234.0583799999999</v>
      </c>
      <c r="L30" s="136">
        <f t="shared" ref="L30:L32" si="16">SUM(B30:K30)</f>
        <v>72992.457736000011</v>
      </c>
      <c r="M30" s="69">
        <f t="shared" ref="M30:M32" si="17">(+L30-B30)/B30</f>
        <v>0.33388261599581914</v>
      </c>
    </row>
    <row r="31" spans="1:13">
      <c r="A31" s="34">
        <v>31.61</v>
      </c>
      <c r="B31" s="135">
        <f t="shared" ref="B31:B32" si="18">A31*35*52</f>
        <v>57530.2</v>
      </c>
      <c r="C31" s="135">
        <f t="shared" si="9"/>
        <v>2535.75</v>
      </c>
      <c r="D31" s="135">
        <f t="shared" si="10"/>
        <v>2450.7865199999997</v>
      </c>
      <c r="E31" s="135">
        <f t="shared" si="11"/>
        <v>449.88616400000001</v>
      </c>
      <c r="F31" s="135">
        <f t="shared" si="12"/>
        <v>1093.0737999999999</v>
      </c>
      <c r="G31" s="135">
        <f t="shared" si="13"/>
        <v>1041.01</v>
      </c>
      <c r="H31" s="135">
        <f t="shared" si="14"/>
        <v>2301.2080000000001</v>
      </c>
      <c r="I31" s="135">
        <f t="shared" si="15"/>
        <v>1150.604</v>
      </c>
      <c r="J31" s="135">
        <f t="shared" si="7"/>
        <v>4602.4160000000002</v>
      </c>
      <c r="K31" s="135">
        <f t="shared" si="8"/>
        <v>3400.0348199999999</v>
      </c>
      <c r="L31" s="135">
        <f t="shared" si="16"/>
        <v>76554.969304000013</v>
      </c>
      <c r="M31" s="64">
        <f t="shared" si="17"/>
        <v>0.33069186799281103</v>
      </c>
    </row>
    <row r="32" spans="1:13">
      <c r="A32" s="34">
        <v>18</v>
      </c>
      <c r="B32" s="135">
        <f t="shared" si="18"/>
        <v>32760</v>
      </c>
      <c r="C32" s="135">
        <f>IF($B32*$C$25&lt;$C$24,$B32*$C$25,$C$24)</f>
        <v>1695.33</v>
      </c>
      <c r="D32" s="135">
        <f>$B32*$D$25</f>
        <v>1395.576</v>
      </c>
      <c r="E32" s="135">
        <f>IF($B32*$E$25&lt;$E$24,$B32*$E$25,$E$24)</f>
        <v>256.1832</v>
      </c>
      <c r="F32" s="135">
        <f>IF($B32*$F$25&lt;$F$24,$B32*$F$25,$F$24)</f>
        <v>622.43999999999994</v>
      </c>
      <c r="G32" s="135">
        <f>IF($B32*$G$25&lt;$G$24,$B32*$G$25,$G$24)</f>
        <v>701.7192</v>
      </c>
      <c r="H32" s="135">
        <f>$B32*$H$25</f>
        <v>1310.4000000000001</v>
      </c>
      <c r="I32" s="135">
        <f>$B32*$I$25</f>
        <v>655.20000000000005</v>
      </c>
      <c r="J32" s="135">
        <f t="shared" si="7"/>
        <v>2620.8000000000002</v>
      </c>
      <c r="K32" s="135">
        <f t="shared" si="8"/>
        <v>1936.116</v>
      </c>
      <c r="L32" s="135">
        <f t="shared" si="16"/>
        <v>43953.764400000007</v>
      </c>
      <c r="M32" s="64">
        <f t="shared" si="17"/>
        <v>0.34169000000000022</v>
      </c>
    </row>
    <row r="33" spans="1:12">
      <c r="A33" s="2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</row>
    <row r="34" spans="1:12" ht="13.9" thickBot="1">
      <c r="A34" s="35" t="s">
        <v>70</v>
      </c>
      <c r="B34" s="36">
        <f t="shared" ref="B34:L34" si="19">SUM(B27:B32)</f>
        <v>200872</v>
      </c>
      <c r="C34" s="36">
        <f t="shared" si="19"/>
        <v>9657.5849999999991</v>
      </c>
      <c r="D34" s="36">
        <f t="shared" si="19"/>
        <v>8557.1471999999994</v>
      </c>
      <c r="E34" s="36">
        <f t="shared" si="19"/>
        <v>1570.8190399999999</v>
      </c>
      <c r="F34" s="36">
        <f t="shared" si="19"/>
        <v>3816.5679999999998</v>
      </c>
      <c r="G34" s="36">
        <f t="shared" si="19"/>
        <v>3980.2604000000006</v>
      </c>
      <c r="H34" s="36">
        <f t="shared" si="19"/>
        <v>8034.8799999999992</v>
      </c>
      <c r="I34" s="36">
        <f t="shared" si="19"/>
        <v>4017.4399999999996</v>
      </c>
      <c r="J34" s="36">
        <f t="shared" si="19"/>
        <v>16069.759999999998</v>
      </c>
      <c r="K34" s="36">
        <f t="shared" si="19"/>
        <v>11871.5352</v>
      </c>
      <c r="L34" s="36">
        <f t="shared" si="19"/>
        <v>268447.99484</v>
      </c>
    </row>
    <row r="35" spans="1:12" ht="13.9" thickTop="1"/>
  </sheetData>
  <pageMargins left="0.39" right="0.3" top="0.5" bottom="0.74803149606299213" header="0.31496062992125984" footer="0.31496062992125984"/>
  <pageSetup scale="95" orientation="landscape" r:id="rId1"/>
  <headerFooter>
    <oddFooter>&amp;L&amp;8&amp;Z&amp;F&amp;R&amp;8&amp;D     &amp;T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5"/>
  <sheetViews>
    <sheetView workbookViewId="0"/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4" ht="22.9">
      <c r="A1" s="77" t="s">
        <v>74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4.45">
      <c r="A2" s="32" t="s">
        <v>75</v>
      </c>
      <c r="E2" s="8"/>
      <c r="F2" s="115"/>
      <c r="G2" s="115"/>
      <c r="H2" s="115"/>
      <c r="I2" s="115"/>
      <c r="J2" s="115"/>
      <c r="K2" s="8"/>
      <c r="L2" s="33"/>
      <c r="M2" s="8"/>
    </row>
    <row r="3" spans="1:14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4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4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4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38" t="s">
        <v>60</v>
      </c>
      <c r="G6" s="38" t="s">
        <v>61</v>
      </c>
      <c r="H6" s="38" t="s">
        <v>20</v>
      </c>
      <c r="I6" s="38" t="s">
        <v>5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4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4">
      <c r="A8" s="43"/>
      <c r="B8" s="80" t="s">
        <v>80</v>
      </c>
      <c r="C8" s="43"/>
      <c r="D8" s="43"/>
      <c r="E8" s="44"/>
      <c r="F8" s="53">
        <v>2630.25</v>
      </c>
      <c r="G8" s="53"/>
      <c r="H8" s="53">
        <v>547.4</v>
      </c>
      <c r="I8" s="53">
        <v>1491</v>
      </c>
      <c r="J8" s="53">
        <f>762.3*1.4</f>
        <v>1067.2199999999998</v>
      </c>
      <c r="K8" s="53" t="s">
        <v>69</v>
      </c>
      <c r="L8" s="53"/>
      <c r="M8" s="49"/>
    </row>
    <row r="9" spans="1:14">
      <c r="A9" s="45"/>
      <c r="B9" s="81" t="s">
        <v>81</v>
      </c>
      <c r="C9" s="45"/>
      <c r="D9" s="45"/>
      <c r="E9" s="44"/>
      <c r="F9" s="54">
        <v>5.2499999999999998E-2</v>
      </c>
      <c r="G9" s="55">
        <v>4.2599999999999999E-2</v>
      </c>
      <c r="H9" s="54">
        <v>7.8200000000000006E-3</v>
      </c>
      <c r="I9" s="55">
        <v>2.1299999999999999E-2</v>
      </c>
      <c r="J9" s="54">
        <f>1.54*1.4%</f>
        <v>2.1559999999999999E-2</v>
      </c>
      <c r="K9" s="55">
        <v>0.02</v>
      </c>
      <c r="L9" s="55">
        <v>0.02</v>
      </c>
      <c r="M9" s="49"/>
    </row>
    <row r="10" spans="1:14">
      <c r="A10" s="46"/>
      <c r="B10" s="79" t="s">
        <v>82</v>
      </c>
      <c r="C10" s="46"/>
      <c r="D10" s="46"/>
      <c r="E10" s="47"/>
      <c r="F10" s="56">
        <v>53600</v>
      </c>
      <c r="G10" s="57"/>
      <c r="H10" s="56">
        <v>70000</v>
      </c>
      <c r="I10" s="56">
        <v>70000</v>
      </c>
      <c r="J10" s="56">
        <v>49500</v>
      </c>
      <c r="K10" s="47"/>
      <c r="L10" s="58"/>
      <c r="M10" s="50"/>
    </row>
    <row r="11" spans="1:14">
      <c r="A11" s="73"/>
      <c r="B11" s="78">
        <v>20.25</v>
      </c>
      <c r="C11" s="74">
        <v>35</v>
      </c>
      <c r="D11" s="75">
        <v>52</v>
      </c>
      <c r="E11" s="109">
        <f t="shared" ref="E11:E14" si="0">B11*C11*D11</f>
        <v>36855</v>
      </c>
      <c r="F11" s="109">
        <f>IF($E11*$F$9&lt;$F$8,$E11*$F$9,$F$8)</f>
        <v>1934.8874999999998</v>
      </c>
      <c r="G11" s="109">
        <f>$E11*$G$9</f>
        <v>1570.0229999999999</v>
      </c>
      <c r="H11" s="109">
        <f>IF($E11*$H$9&lt;$H$8,$E11*$H$9,$H$8)</f>
        <v>288.20610000000005</v>
      </c>
      <c r="I11" s="109">
        <f>IF($E11*$I$9&lt;$I$8,$E11*$I$9,$I$8)</f>
        <v>785.01149999999996</v>
      </c>
      <c r="J11" s="109">
        <f>IF($E11*$J$9&lt;$J$8,$E11*$J$9,$J$8)</f>
        <v>794.59379999999999</v>
      </c>
      <c r="K11" s="109">
        <f>$E11*$K$9</f>
        <v>737.1</v>
      </c>
      <c r="L11" s="109">
        <f>$E11*$L$9</f>
        <v>737.1</v>
      </c>
      <c r="M11" s="109">
        <f>SUM(E11:L11)</f>
        <v>43701.921900000001</v>
      </c>
      <c r="N11" s="71">
        <f>(+M11-E11)/E11</f>
        <v>0.18578000000000003</v>
      </c>
    </row>
    <row r="12" spans="1:14">
      <c r="A12" s="73"/>
      <c r="B12" s="78">
        <v>18.899999999999999</v>
      </c>
      <c r="C12" s="74">
        <v>35</v>
      </c>
      <c r="D12" s="75">
        <v>52</v>
      </c>
      <c r="E12" s="109">
        <f t="shared" si="0"/>
        <v>34398</v>
      </c>
      <c r="F12" s="109">
        <f>IF($E12*$F$9&lt;$F$8,$E12*$F$9,$F$8)</f>
        <v>1805.895</v>
      </c>
      <c r="G12" s="109">
        <f>$E12*$G$9</f>
        <v>1465.3548000000001</v>
      </c>
      <c r="H12" s="109">
        <f>IF($E12*$H$9&lt;$H$8,$E12*$H$9,$H$8)</f>
        <v>268.99236000000002</v>
      </c>
      <c r="I12" s="109">
        <f>IF($E12*$I$9&lt;$I$8,$E12*$I$9,$I$8)</f>
        <v>732.67740000000003</v>
      </c>
      <c r="J12" s="109">
        <f>IF($E12*$J$9&lt;$J$8,$E12*$J$9,$J$8)</f>
        <v>741.62087999999994</v>
      </c>
      <c r="K12" s="109">
        <f>$E12*$K$9</f>
        <v>687.96</v>
      </c>
      <c r="L12" s="109">
        <f>$E12*$L$9</f>
        <v>687.96</v>
      </c>
      <c r="M12" s="109">
        <f t="shared" ref="M12:M14" si="1">SUM(E12:L12)</f>
        <v>40788.460439999995</v>
      </c>
      <c r="N12" s="64">
        <f t="shared" ref="N12:N14" si="2">(+M12-E12)/E12</f>
        <v>0.18577999999999986</v>
      </c>
    </row>
    <row r="13" spans="1:14">
      <c r="A13" s="73"/>
      <c r="B13" s="78">
        <v>34.56</v>
      </c>
      <c r="C13" s="74">
        <v>35</v>
      </c>
      <c r="D13" s="75">
        <v>52</v>
      </c>
      <c r="E13" s="109">
        <f t="shared" si="0"/>
        <v>62899.200000000004</v>
      </c>
      <c r="F13" s="109">
        <f>IF($E13*$F$9&lt;$F$8,$E13*$F$9,$F$8)</f>
        <v>2630.25</v>
      </c>
      <c r="G13" s="109">
        <f>$E13*$G$9</f>
        <v>2679.5059200000001</v>
      </c>
      <c r="H13" s="109">
        <f>IF($E13*$H$9&lt;$H$8,$E13*$H$9,$H$8)</f>
        <v>491.87174400000009</v>
      </c>
      <c r="I13" s="109">
        <f>IF($E13*$I$9&lt;$I$8,$E13*$I$9,$I$8)</f>
        <v>1339.75296</v>
      </c>
      <c r="J13" s="109">
        <f>IF($E13*$J$9&lt;$J$8,$E13*$J$9,$J$8)</f>
        <v>1067.2199999999998</v>
      </c>
      <c r="K13" s="109">
        <f>$E13*$K$9</f>
        <v>1257.9840000000002</v>
      </c>
      <c r="L13" s="109">
        <f>$E13*$L$9</f>
        <v>1257.9840000000002</v>
      </c>
      <c r="M13" s="109">
        <f t="shared" si="1"/>
        <v>73623.768624000004</v>
      </c>
      <c r="N13" s="64">
        <f t="shared" si="2"/>
        <v>0.17050405448717948</v>
      </c>
    </row>
    <row r="14" spans="1:14">
      <c r="A14" s="73"/>
      <c r="B14" s="78">
        <v>42.81</v>
      </c>
      <c r="C14" s="74">
        <v>35</v>
      </c>
      <c r="D14" s="75">
        <v>52</v>
      </c>
      <c r="E14" s="109">
        <f t="shared" si="0"/>
        <v>77914.200000000012</v>
      </c>
      <c r="F14" s="109">
        <f>IF($E14*$F$9&lt;$F$8,$E14*$F$9,$F$8)</f>
        <v>2630.25</v>
      </c>
      <c r="G14" s="109">
        <f>$E14*$G$9</f>
        <v>3319.1449200000006</v>
      </c>
      <c r="H14" s="109">
        <f>IF($E14*$H$9&lt;$H$8,$E14*$H$9,$H$8)</f>
        <v>547.4</v>
      </c>
      <c r="I14" s="109">
        <f>IF($E14*$I$9&lt;$I$8,$E14*$I$9,$I$8)</f>
        <v>1491</v>
      </c>
      <c r="J14" s="109">
        <f>IF($E14*$J$9&lt;$J$8,$E14*$J$9,$J$8)</f>
        <v>1067.2199999999998</v>
      </c>
      <c r="K14" s="109">
        <f>$E14*$K$9</f>
        <v>1558.2840000000003</v>
      </c>
      <c r="L14" s="109">
        <f>$E14*$L$9</f>
        <v>1558.2840000000003</v>
      </c>
      <c r="M14" s="109">
        <f t="shared" si="1"/>
        <v>90085.782920000012</v>
      </c>
      <c r="N14" s="64">
        <f t="shared" si="2"/>
        <v>0.15621777442366089</v>
      </c>
    </row>
    <row r="15" spans="1:14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4" ht="13.9" thickBot="1">
      <c r="B16" s="35" t="s">
        <v>70</v>
      </c>
      <c r="C16" s="35"/>
      <c r="D16" s="35"/>
      <c r="E16" s="36">
        <f t="shared" ref="E16:M16" si="3">SUM(E11:E14)</f>
        <v>212066.40000000002</v>
      </c>
      <c r="F16" s="36">
        <f t="shared" si="3"/>
        <v>9001.2824999999993</v>
      </c>
      <c r="G16" s="36">
        <f t="shared" si="3"/>
        <v>9034.0286400000005</v>
      </c>
      <c r="H16" s="36">
        <f t="shared" si="3"/>
        <v>1596.4702040000002</v>
      </c>
      <c r="I16" s="36">
        <f t="shared" si="3"/>
        <v>4348.4418599999999</v>
      </c>
      <c r="J16" s="36">
        <f t="shared" si="3"/>
        <v>3670.6546799999996</v>
      </c>
      <c r="K16" s="36">
        <f t="shared" si="3"/>
        <v>4241.3280000000004</v>
      </c>
      <c r="L16" s="36">
        <f t="shared" si="3"/>
        <v>4241.3280000000004</v>
      </c>
      <c r="M16" s="36">
        <f t="shared" si="3"/>
        <v>248199.933884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62" t="s">
        <v>60</v>
      </c>
      <c r="G22" s="62" t="s">
        <v>61</v>
      </c>
      <c r="H22" s="62" t="s">
        <v>20</v>
      </c>
      <c r="I22" s="62" t="s">
        <v>5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4">F8</f>
        <v>2630.25</v>
      </c>
      <c r="G24" s="53"/>
      <c r="H24" s="53">
        <f t="shared" si="4"/>
        <v>547.4</v>
      </c>
      <c r="I24" s="53">
        <f t="shared" si="4"/>
        <v>1491</v>
      </c>
      <c r="J24" s="53">
        <f>J8</f>
        <v>1067.2199999999998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4"/>
        <v>5.2499999999999998E-2</v>
      </c>
      <c r="G25" s="54">
        <f>G9</f>
        <v>4.2599999999999999E-2</v>
      </c>
      <c r="H25" s="54">
        <f t="shared" si="4"/>
        <v>7.8200000000000006E-3</v>
      </c>
      <c r="I25" s="54">
        <f t="shared" si="4"/>
        <v>2.1299999999999999E-2</v>
      </c>
      <c r="J25" s="54">
        <f>J9</f>
        <v>2.1559999999999999E-2</v>
      </c>
      <c r="K25" s="55">
        <v>0.04</v>
      </c>
      <c r="L25" s="55">
        <f>L9</f>
        <v>0.02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4"/>
        <v>53600</v>
      </c>
      <c r="G26" s="56"/>
      <c r="H26" s="56">
        <f t="shared" si="4"/>
        <v>70000</v>
      </c>
      <c r="I26" s="56">
        <f t="shared" si="4"/>
        <v>70000</v>
      </c>
      <c r="J26" s="56">
        <f>J10</f>
        <v>49500</v>
      </c>
      <c r="K26" s="47"/>
      <c r="L26" s="58"/>
      <c r="M26" s="58"/>
      <c r="N26" s="58"/>
      <c r="O26" s="50"/>
    </row>
    <row r="27" spans="1:16">
      <c r="A27" s="73"/>
      <c r="B27" s="78">
        <v>0</v>
      </c>
      <c r="C27" s="74">
        <v>35</v>
      </c>
      <c r="D27" s="75">
        <v>52</v>
      </c>
      <c r="E27" s="109">
        <f>B27*C27*D27</f>
        <v>0</v>
      </c>
      <c r="F27" s="109">
        <f>IF($E27*$F$25&lt;$F$24,$E27*$F$25,$F$24)</f>
        <v>0</v>
      </c>
      <c r="G27" s="109">
        <f>$E27*$G$25</f>
        <v>0</v>
      </c>
      <c r="H27" s="109">
        <f>IF($E27*$H$25&lt;$H$24,$E27*$H$25,$H$24)</f>
        <v>0</v>
      </c>
      <c r="I27" s="109">
        <f>IF($E27*$I$25&lt;$I$24,$E27*$I$25,$I$24)</f>
        <v>0</v>
      </c>
      <c r="J27" s="109">
        <f>IF($E27*$J$25&lt;$J$24,$E27*$J$25,$J$24)</f>
        <v>0</v>
      </c>
      <c r="K27" s="109">
        <f>$E27*$K$25</f>
        <v>0</v>
      </c>
      <c r="L27" s="109">
        <f>$E27*$L$25</f>
        <v>0</v>
      </c>
      <c r="M27" s="109">
        <f t="shared" ref="M27:M32" si="5">$E27*$M$25</f>
        <v>0</v>
      </c>
      <c r="N27" s="109">
        <f t="shared" ref="N27:N32" si="6">$E27*$N$25</f>
        <v>0</v>
      </c>
      <c r="O27" s="109">
        <f>SUM(E27:N27)</f>
        <v>0</v>
      </c>
      <c r="P27" s="72" t="e">
        <f>(+O27-E27)/E27</f>
        <v>#DIV/0!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7">B28*C28*D28</f>
        <v>0</v>
      </c>
      <c r="F28" s="109">
        <f>IF($E28*$F$25&lt;$F$24,$E28*$F$25,$F$24)</f>
        <v>0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5"/>
        <v>0</v>
      </c>
      <c r="N28" s="109">
        <f t="shared" si="6"/>
        <v>0</v>
      </c>
      <c r="O28" s="109">
        <f>SUM(E28:N28)</f>
        <v>0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7"/>
        <v>0</v>
      </c>
      <c r="F29" s="109">
        <f>IF($E29*$F$25&lt;$F$24,$E29*$F$25,$F$24)</f>
        <v>0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5"/>
        <v>0</v>
      </c>
      <c r="N29" s="109">
        <f t="shared" si="6"/>
        <v>0</v>
      </c>
      <c r="O29" s="109">
        <f>SUM(E29:N29)</f>
        <v>0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7"/>
        <v>0</v>
      </c>
      <c r="F30" s="109">
        <f t="shared" ref="F30:F31" si="8">IF($E30*$F$25&lt;$F$24,$E30*$F$25,$F$24)</f>
        <v>0</v>
      </c>
      <c r="G30" s="109">
        <f t="shared" ref="G30:G31" si="9">$E30*$G$25</f>
        <v>0</v>
      </c>
      <c r="H30" s="109">
        <f t="shared" ref="H30:H31" si="10">IF($E30*$H$25&lt;$H$24,$E30*$H$25,$H$24)</f>
        <v>0</v>
      </c>
      <c r="I30" s="109">
        <f t="shared" ref="I30:I31" si="11">IF($E30*$I$25&lt;$I$24,$E30*$I$25,$I$24)</f>
        <v>0</v>
      </c>
      <c r="J30" s="109">
        <f t="shared" ref="J30:J31" si="12">IF($E30*$J$25&lt;$J$24,$E30*$J$25,$J$24)</f>
        <v>0</v>
      </c>
      <c r="K30" s="109">
        <f t="shared" ref="K30:K31" si="13">$E30*$K$25</f>
        <v>0</v>
      </c>
      <c r="L30" s="109">
        <f t="shared" ref="L30:L31" si="14">$E30*$L$25</f>
        <v>0</v>
      </c>
      <c r="M30" s="109">
        <f t="shared" si="5"/>
        <v>0</v>
      </c>
      <c r="N30" s="109">
        <f t="shared" si="6"/>
        <v>0</v>
      </c>
      <c r="O30" s="109">
        <f t="shared" ref="O30:O32" si="15">SUM(E30:N30)</f>
        <v>0</v>
      </c>
      <c r="P30" s="72" t="e">
        <f t="shared" ref="P30:P32" si="16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7"/>
        <v>0</v>
      </c>
      <c r="F31" s="109">
        <f t="shared" si="8"/>
        <v>0</v>
      </c>
      <c r="G31" s="109">
        <f t="shared" si="9"/>
        <v>0</v>
      </c>
      <c r="H31" s="109">
        <f t="shared" si="10"/>
        <v>0</v>
      </c>
      <c r="I31" s="109">
        <f t="shared" si="11"/>
        <v>0</v>
      </c>
      <c r="J31" s="109">
        <f t="shared" si="12"/>
        <v>0</v>
      </c>
      <c r="K31" s="109">
        <f t="shared" si="13"/>
        <v>0</v>
      </c>
      <c r="L31" s="109">
        <f t="shared" si="14"/>
        <v>0</v>
      </c>
      <c r="M31" s="109">
        <f t="shared" si="5"/>
        <v>0</v>
      </c>
      <c r="N31" s="109">
        <f t="shared" si="6"/>
        <v>0</v>
      </c>
      <c r="O31" s="109">
        <f t="shared" si="15"/>
        <v>0</v>
      </c>
      <c r="P31" s="72" t="e">
        <f t="shared" si="16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7"/>
        <v>0</v>
      </c>
      <c r="F32" s="109">
        <f>IF($E32*$F$25&lt;$F$24,$E32*$F$25,$F$24)</f>
        <v>0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5"/>
        <v>0</v>
      </c>
      <c r="N32" s="109">
        <f t="shared" si="6"/>
        <v>0</v>
      </c>
      <c r="O32" s="109">
        <f t="shared" si="15"/>
        <v>0</v>
      </c>
      <c r="P32" s="72" t="e">
        <f t="shared" si="16"/>
        <v>#DIV/0!</v>
      </c>
    </row>
    <row r="33" spans="2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2:15" ht="13.9" thickBot="1">
      <c r="B34" s="35" t="s">
        <v>70</v>
      </c>
      <c r="C34" s="35"/>
      <c r="D34" s="35"/>
      <c r="E34" s="36">
        <f t="shared" ref="E34:O34" si="17">SUM(E27:E32)</f>
        <v>0</v>
      </c>
      <c r="F34" s="36">
        <f t="shared" si="17"/>
        <v>0</v>
      </c>
      <c r="G34" s="36">
        <f t="shared" si="17"/>
        <v>0</v>
      </c>
      <c r="H34" s="36">
        <f t="shared" si="17"/>
        <v>0</v>
      </c>
      <c r="I34" s="36">
        <f t="shared" si="17"/>
        <v>0</v>
      </c>
      <c r="J34" s="36">
        <f t="shared" si="17"/>
        <v>0</v>
      </c>
      <c r="K34" s="36">
        <f t="shared" si="17"/>
        <v>0</v>
      </c>
      <c r="L34" s="36">
        <f t="shared" si="17"/>
        <v>0</v>
      </c>
      <c r="M34" s="36">
        <f t="shared" si="17"/>
        <v>0</v>
      </c>
      <c r="N34" s="36">
        <f t="shared" si="17"/>
        <v>0</v>
      </c>
      <c r="O34" s="36">
        <f t="shared" si="17"/>
        <v>0</v>
      </c>
    </row>
    <row r="35" spans="2:15" ht="13.9" thickTop="1"/>
  </sheetData>
  <pageMargins left="0.39" right="0.3" top="0.5" bottom="0.74803149606299213" header="0.31496062992125984" footer="0.31496062992125984"/>
  <pageSetup scale="72" orientation="landscape" r:id="rId1"/>
  <headerFooter>
    <oddFooter>&amp;L&amp;8&amp;Z&amp;F&amp;R&amp;8&amp;D     &amp;T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37"/>
  <sheetViews>
    <sheetView workbookViewId="0">
      <selection activeCell="B11" sqref="B11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4" ht="22.9">
      <c r="A1" s="77" t="s">
        <v>83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4.45">
      <c r="A2" s="32" t="s">
        <v>84</v>
      </c>
      <c r="E2" s="8"/>
      <c r="F2" s="115"/>
      <c r="G2" s="115"/>
      <c r="H2" s="115"/>
      <c r="I2" s="115"/>
      <c r="J2" s="115"/>
      <c r="K2" s="8"/>
      <c r="L2" s="33"/>
      <c r="M2" s="8"/>
    </row>
    <row r="3" spans="1:14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4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4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4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5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4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4">
      <c r="A8" s="43"/>
      <c r="B8" s="80" t="s">
        <v>80</v>
      </c>
      <c r="C8" s="43"/>
      <c r="D8" s="43"/>
      <c r="E8" s="44"/>
      <c r="F8" s="53">
        <v>2737.05</v>
      </c>
      <c r="G8" s="53"/>
      <c r="H8" s="53">
        <v>548.41</v>
      </c>
      <c r="I8" s="53">
        <f>+I10*I9</f>
        <v>1408.55</v>
      </c>
      <c r="J8" s="53">
        <f>772.16*1.4</f>
        <v>1081.0239999999999</v>
      </c>
      <c r="K8" s="53" t="s">
        <v>69</v>
      </c>
      <c r="L8" s="53"/>
      <c r="M8" s="49"/>
    </row>
    <row r="9" spans="1:14">
      <c r="A9" s="45"/>
      <c r="B9" s="81" t="s">
        <v>81</v>
      </c>
      <c r="C9" s="45"/>
      <c r="D9" s="45"/>
      <c r="E9" s="44"/>
      <c r="F9" s="54">
        <v>5.3249999999999999E-2</v>
      </c>
      <c r="G9" s="55">
        <v>4.2599999999999999E-2</v>
      </c>
      <c r="H9" s="54">
        <v>7.6699999999999997E-3</v>
      </c>
      <c r="I9" s="55">
        <v>1.9699999999999999E-2</v>
      </c>
      <c r="J9" s="54">
        <f>1.52*1.4%</f>
        <v>2.1279999999999997E-2</v>
      </c>
      <c r="K9" s="55">
        <v>0.02</v>
      </c>
      <c r="L9" s="55">
        <v>0.02</v>
      </c>
      <c r="M9" s="49"/>
    </row>
    <row r="10" spans="1:14">
      <c r="A10" s="46"/>
      <c r="B10" s="79" t="s">
        <v>82</v>
      </c>
      <c r="C10" s="46"/>
      <c r="D10" s="46"/>
      <c r="E10" s="47"/>
      <c r="F10" s="56">
        <v>54900</v>
      </c>
      <c r="G10" s="57"/>
      <c r="H10" s="56">
        <v>71500</v>
      </c>
      <c r="I10" s="56">
        <v>71500</v>
      </c>
      <c r="J10" s="56">
        <v>50800</v>
      </c>
      <c r="K10" s="47"/>
      <c r="L10" s="58"/>
      <c r="M10" s="50"/>
    </row>
    <row r="11" spans="1:14">
      <c r="A11" s="73"/>
      <c r="B11" s="78"/>
      <c r="C11" s="74">
        <v>36.25</v>
      </c>
      <c r="D11" s="74">
        <f>172.25/36.25</f>
        <v>4.7517241379310349</v>
      </c>
      <c r="E11" s="109">
        <f t="shared" ref="E11:E14" si="0">B11*C11*D11</f>
        <v>0</v>
      </c>
      <c r="F11" s="109">
        <f>IF($E11*$F$9&lt;$F$8,($E11-3500)*$F$9,$F$8)</f>
        <v>-186.375</v>
      </c>
      <c r="G11" s="109">
        <f>$E11*$G$9</f>
        <v>0</v>
      </c>
      <c r="H11" s="109">
        <f>IF($E11*$H$9&lt;$H$8,$E11*$H$9,$H$8)</f>
        <v>0</v>
      </c>
      <c r="I11" s="109">
        <f>IF($E11*$I$9&lt;$I$8,$E11*$I$9,$I$8)</f>
        <v>0</v>
      </c>
      <c r="J11" s="109">
        <f>IF($E11*$J$9&lt;$J$8,$E11*$J$9,$J$8)</f>
        <v>0</v>
      </c>
      <c r="K11" s="109">
        <f>$E11*$K$9</f>
        <v>0</v>
      </c>
      <c r="L11" s="109">
        <f>$E11*$L$9</f>
        <v>0</v>
      </c>
      <c r="M11" s="109">
        <f>SUM(E11:L11)</f>
        <v>-186.375</v>
      </c>
      <c r="N11" s="71" t="e">
        <f>(+M11-E11)/E11</f>
        <v>#DIV/0!</v>
      </c>
    </row>
    <row r="12" spans="1:14">
      <c r="A12" s="73"/>
      <c r="B12" s="78"/>
      <c r="C12" s="74">
        <v>35</v>
      </c>
      <c r="D12" s="75">
        <v>52</v>
      </c>
      <c r="E12" s="109">
        <f t="shared" si="0"/>
        <v>0</v>
      </c>
      <c r="F12" s="109">
        <f t="shared" ref="F12:F13" si="1">IF($E12*$F$9&lt;$F$8,($E12-3500)*$F$9,$F$8)</f>
        <v>-186.375</v>
      </c>
      <c r="G12" s="109">
        <f>$E12*$G$9</f>
        <v>0</v>
      </c>
      <c r="H12" s="109">
        <f>IF($E12*$H$9&lt;$H$8,$E12*$H$9,$H$8)</f>
        <v>0</v>
      </c>
      <c r="I12" s="109">
        <f>IF($E12*$I$9&lt;$I$8,$E12*$I$9,$I$8)</f>
        <v>0</v>
      </c>
      <c r="J12" s="109">
        <f>IF($E12*$J$9&lt;$J$8,$E12*$J$9,$J$8)</f>
        <v>0</v>
      </c>
      <c r="K12" s="109">
        <f>$E12*$K$9</f>
        <v>0</v>
      </c>
      <c r="L12" s="109">
        <f>$E12*$L$9</f>
        <v>0</v>
      </c>
      <c r="M12" s="109">
        <f t="shared" ref="M12:M14" si="2">SUM(E12:L12)</f>
        <v>-186.375</v>
      </c>
      <c r="N12" s="64" t="e">
        <f t="shared" ref="N12:N14" si="3">(+M12-E12)/E12</f>
        <v>#DIV/0!</v>
      </c>
    </row>
    <row r="13" spans="1:14">
      <c r="A13" s="73"/>
      <c r="B13" s="78"/>
      <c r="C13" s="74">
        <v>35</v>
      </c>
      <c r="D13" s="75">
        <v>52</v>
      </c>
      <c r="E13" s="109">
        <f t="shared" si="0"/>
        <v>0</v>
      </c>
      <c r="F13" s="109">
        <f t="shared" si="1"/>
        <v>-186.375</v>
      </c>
      <c r="G13" s="109">
        <f>$E13*$G$9</f>
        <v>0</v>
      </c>
      <c r="H13" s="109">
        <f>IF($E13*$H$9&lt;$H$8,$E13*$H$9,$H$8)</f>
        <v>0</v>
      </c>
      <c r="I13" s="109">
        <f>IF($E13*$I$9&lt;$I$8,$E13*$I$9,$I$8)</f>
        <v>0</v>
      </c>
      <c r="J13" s="109">
        <f>IF($E13*$J$9&lt;$J$8,$E13*$J$9,$J$8)</f>
        <v>0</v>
      </c>
      <c r="K13" s="109">
        <f>$E13*$K$9</f>
        <v>0</v>
      </c>
      <c r="L13" s="109">
        <f>$E13*$L$9</f>
        <v>0</v>
      </c>
      <c r="M13" s="109">
        <f t="shared" si="2"/>
        <v>-186.375</v>
      </c>
      <c r="N13" s="64" t="e">
        <f t="shared" si="3"/>
        <v>#DIV/0!</v>
      </c>
    </row>
    <row r="14" spans="1:14">
      <c r="A14" s="73"/>
      <c r="B14" s="78"/>
      <c r="C14" s="74">
        <v>35</v>
      </c>
      <c r="D14" s="75">
        <v>52</v>
      </c>
      <c r="E14" s="109">
        <f t="shared" si="0"/>
        <v>0</v>
      </c>
      <c r="F14" s="109">
        <f>IF($E14*$F$9&lt;$F$8,($E14-3500)*$F$9,$F$8)</f>
        <v>-186.375</v>
      </c>
      <c r="G14" s="109">
        <f>$E14*$G$9</f>
        <v>0</v>
      </c>
      <c r="H14" s="109">
        <f>IF($E14*$H$9&lt;$H$8,$E14*$H$9,$H$8)</f>
        <v>0</v>
      </c>
      <c r="I14" s="109">
        <f>IF($E14*$I$9&lt;$I$8,$E14*$I$9,$I$8)</f>
        <v>0</v>
      </c>
      <c r="J14" s="109">
        <f>IF($E14*$J$9&lt;$J$8,$E14*$J$9,$J$8)</f>
        <v>0</v>
      </c>
      <c r="K14" s="109">
        <f>$E14*$K$9</f>
        <v>0</v>
      </c>
      <c r="L14" s="109">
        <f>$E14*$L$9</f>
        <v>0</v>
      </c>
      <c r="M14" s="109">
        <f t="shared" si="2"/>
        <v>-186.375</v>
      </c>
      <c r="N14" s="64" t="e">
        <f t="shared" si="3"/>
        <v>#DIV/0!</v>
      </c>
    </row>
    <row r="15" spans="1:14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4" ht="13.9" thickBot="1">
      <c r="B16" s="35" t="s">
        <v>70</v>
      </c>
      <c r="C16" s="35"/>
      <c r="D16" s="35"/>
      <c r="E16" s="36">
        <f t="shared" ref="E16:M16" si="4">SUM(E11:E14)</f>
        <v>0</v>
      </c>
      <c r="F16" s="36">
        <f t="shared" si="4"/>
        <v>-745.5</v>
      </c>
      <c r="G16" s="36">
        <f t="shared" si="4"/>
        <v>0</v>
      </c>
      <c r="H16" s="36">
        <f t="shared" si="4"/>
        <v>0</v>
      </c>
      <c r="I16" s="36">
        <f t="shared" si="4"/>
        <v>0</v>
      </c>
      <c r="J16" s="36">
        <f t="shared" si="4"/>
        <v>0</v>
      </c>
      <c r="K16" s="36">
        <f t="shared" si="4"/>
        <v>0</v>
      </c>
      <c r="L16" s="36">
        <f t="shared" si="4"/>
        <v>0</v>
      </c>
      <c r="M16" s="36">
        <f t="shared" si="4"/>
        <v>-745.5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5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2737.05</v>
      </c>
      <c r="G24" s="53"/>
      <c r="H24" s="53">
        <f t="shared" si="5"/>
        <v>548.41</v>
      </c>
      <c r="I24" s="53">
        <f t="shared" si="5"/>
        <v>1408.55</v>
      </c>
      <c r="J24" s="53">
        <f>J8</f>
        <v>1081.0239999999999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5.3249999999999999E-2</v>
      </c>
      <c r="G25" s="54">
        <f>G9</f>
        <v>4.2599999999999999E-2</v>
      </c>
      <c r="H25" s="54">
        <f t="shared" si="5"/>
        <v>7.6699999999999997E-3</v>
      </c>
      <c r="I25" s="54">
        <f t="shared" si="5"/>
        <v>1.9699999999999999E-2</v>
      </c>
      <c r="J25" s="54">
        <f>J9</f>
        <v>2.1279999999999997E-2</v>
      </c>
      <c r="K25" s="55">
        <v>0.04</v>
      </c>
      <c r="L25" s="55">
        <f>L9</f>
        <v>0.02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54900</v>
      </c>
      <c r="G26" s="56"/>
      <c r="H26" s="56">
        <f t="shared" si="5"/>
        <v>71500</v>
      </c>
      <c r="I26" s="56">
        <f t="shared" si="5"/>
        <v>71500</v>
      </c>
      <c r="J26" s="56">
        <f>J10</f>
        <v>50800</v>
      </c>
      <c r="K26" s="47"/>
      <c r="L26" s="58"/>
      <c r="M26" s="58"/>
      <c r="N26" s="58"/>
      <c r="O26" s="50"/>
    </row>
    <row r="27" spans="1:16">
      <c r="A27" s="73"/>
      <c r="B27" s="78">
        <v>0</v>
      </c>
      <c r="C27" s="74">
        <v>35</v>
      </c>
      <c r="D27" s="75">
        <v>52</v>
      </c>
      <c r="E27" s="109">
        <f>B27*C27*D27</f>
        <v>0</v>
      </c>
      <c r="F27" s="109">
        <f>IF($E27*$F$25&lt;$F$24,($E27-3500)*$F$25,$F$24)</f>
        <v>-186.375</v>
      </c>
      <c r="G27" s="109">
        <f>$E27*$G$25</f>
        <v>0</v>
      </c>
      <c r="H27" s="109">
        <f>IF($E27*$H$25&lt;$H$24,$E27*$H$25,$H$24)</f>
        <v>0</v>
      </c>
      <c r="I27" s="109">
        <f>IF($E27*$I$25&lt;$I$24,$E27*$I$25,$I$24)</f>
        <v>0</v>
      </c>
      <c r="J27" s="109">
        <f>IF($E27*$J$25&lt;$J$24,$E27*$J$25,$J$24)</f>
        <v>0</v>
      </c>
      <c r="K27" s="109">
        <f>$E27*$K$25</f>
        <v>0</v>
      </c>
      <c r="L27" s="109">
        <f>$E27*$L$25</f>
        <v>0</v>
      </c>
      <c r="M27" s="109">
        <f t="shared" ref="M27:M32" si="6">$E27*$M$25</f>
        <v>0</v>
      </c>
      <c r="N27" s="109">
        <f t="shared" ref="N27:N32" si="7">$E27*$N$25</f>
        <v>0</v>
      </c>
      <c r="O27" s="109">
        <f>SUM(E27:N27)</f>
        <v>-186.375</v>
      </c>
      <c r="P27" s="72" t="e">
        <f>(+O27-E27)/E27</f>
        <v>#DIV/0!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-186.375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-186.375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-186.375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-186.375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-186.375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-186.375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-186.375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-186.375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-186.375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-186.375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0</v>
      </c>
      <c r="F34" s="36">
        <f t="shared" si="18"/>
        <v>-1118.25</v>
      </c>
      <c r="G34" s="36">
        <f t="shared" si="18"/>
        <v>0</v>
      </c>
      <c r="H34" s="36">
        <f t="shared" si="18"/>
        <v>0</v>
      </c>
      <c r="I34" s="36">
        <f t="shared" si="18"/>
        <v>0</v>
      </c>
      <c r="J34" s="36">
        <f t="shared" si="18"/>
        <v>0</v>
      </c>
      <c r="K34" s="36">
        <f t="shared" si="18"/>
        <v>0</v>
      </c>
      <c r="L34" s="36">
        <f t="shared" si="18"/>
        <v>0</v>
      </c>
      <c r="M34" s="36">
        <f t="shared" si="18"/>
        <v>0</v>
      </c>
      <c r="N34" s="36">
        <f t="shared" si="18"/>
        <v>0</v>
      </c>
      <c r="O34" s="36">
        <f t="shared" si="18"/>
        <v>-1118.25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72" orientation="landscape" r:id="rId1"/>
  <headerFooter>
    <oddFooter>&amp;L&amp;8&amp;Z&amp;F&amp;R&amp;8&amp;D     &amp;T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37"/>
  <sheetViews>
    <sheetView topLeftCell="B4" workbookViewId="0">
      <selection activeCell="O27" sqref="O27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4" ht="22.9">
      <c r="A1" s="77" t="s">
        <v>87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4.45">
      <c r="A2" s="32" t="s">
        <v>88</v>
      </c>
      <c r="E2" s="8"/>
      <c r="F2" s="115"/>
      <c r="G2" s="115"/>
      <c r="H2" s="115"/>
      <c r="I2" s="115"/>
      <c r="J2" s="115"/>
      <c r="K2" s="8"/>
      <c r="L2" s="33"/>
      <c r="M2" s="8"/>
    </row>
    <row r="3" spans="1:14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4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4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4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4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4">
      <c r="A8" s="43"/>
      <c r="B8" s="80" t="s">
        <v>80</v>
      </c>
      <c r="C8" s="43"/>
      <c r="D8" s="43"/>
      <c r="E8" s="44"/>
      <c r="F8" s="53">
        <v>2797.2</v>
      </c>
      <c r="G8" s="53"/>
      <c r="H8" s="53">
        <v>556.08000000000004</v>
      </c>
      <c r="I8" s="53">
        <f>+I10*I9</f>
        <v>1210.75</v>
      </c>
      <c r="J8" s="53">
        <f>651.51*1.4</f>
        <v>912.11399999999992</v>
      </c>
      <c r="K8" s="53" t="s">
        <v>69</v>
      </c>
      <c r="L8" s="53"/>
      <c r="M8" s="49"/>
    </row>
    <row r="9" spans="1:14">
      <c r="A9" s="45"/>
      <c r="B9" s="81" t="s">
        <v>81</v>
      </c>
      <c r="C9" s="45"/>
      <c r="D9" s="45"/>
      <c r="E9" s="44"/>
      <c r="F9" s="54">
        <v>5.3999999999999999E-2</v>
      </c>
      <c r="G9" s="55">
        <v>4.2599999999999999E-2</v>
      </c>
      <c r="H9" s="54">
        <v>7.6699999999999997E-3</v>
      </c>
      <c r="I9" s="55">
        <v>1.67E-2</v>
      </c>
      <c r="J9" s="54">
        <f>1.27*1.4%</f>
        <v>1.7779999999999997E-2</v>
      </c>
      <c r="K9" s="55">
        <v>0.02</v>
      </c>
      <c r="L9" s="55">
        <v>2.2499999999999999E-2</v>
      </c>
      <c r="M9" s="49"/>
    </row>
    <row r="10" spans="1:14">
      <c r="A10" s="46"/>
      <c r="B10" s="79" t="s">
        <v>82</v>
      </c>
      <c r="C10" s="46"/>
      <c r="D10" s="46"/>
      <c r="E10" s="47"/>
      <c r="F10" s="56">
        <v>55300</v>
      </c>
      <c r="G10" s="57"/>
      <c r="H10" s="56">
        <v>72500</v>
      </c>
      <c r="I10" s="56">
        <v>72500</v>
      </c>
      <c r="J10" s="56">
        <v>51300</v>
      </c>
      <c r="K10" s="47"/>
      <c r="L10" s="58"/>
      <c r="M10" s="50"/>
    </row>
    <row r="11" spans="1:14">
      <c r="A11" s="73"/>
      <c r="B11" s="78">
        <v>16.5</v>
      </c>
      <c r="C11" s="74">
        <v>35</v>
      </c>
      <c r="D11" s="75">
        <v>52</v>
      </c>
      <c r="E11" s="109">
        <f t="shared" ref="E11:E14" si="0">B11*C11*D11</f>
        <v>30030</v>
      </c>
      <c r="F11" s="109">
        <f>IF($E11*$F$9&lt;$F$8,($E11-3500)*$F$9,$F$8)</f>
        <v>1432.62</v>
      </c>
      <c r="G11" s="109">
        <f>$E11*$G$9</f>
        <v>1279.278</v>
      </c>
      <c r="H11" s="109">
        <f>IF($E11*$H$9&lt;$H$8,$E11*$H$9,$H$8)</f>
        <v>230.33009999999999</v>
      </c>
      <c r="I11" s="109">
        <f>IF($E11*$I$9&lt;$I$8,$E11*$I$9,$I$8)</f>
        <v>501.50099999999998</v>
      </c>
      <c r="J11" s="109">
        <f>IF($E11*$J$9&lt;$J$8,$E11*$J$9,$J$8)</f>
        <v>533.93339999999989</v>
      </c>
      <c r="K11" s="109">
        <f>$E11*$K$9</f>
        <v>600.6</v>
      </c>
      <c r="L11" s="109">
        <f>$E11*$L$9</f>
        <v>675.67499999999995</v>
      </c>
      <c r="M11" s="109">
        <f>SUM(E11:L11)</f>
        <v>35283.9375</v>
      </c>
      <c r="N11" s="71">
        <f>(+M11-E11)/E11</f>
        <v>0.1749562937062937</v>
      </c>
    </row>
    <row r="12" spans="1:14">
      <c r="A12" s="73"/>
      <c r="B12" s="78">
        <v>25.32</v>
      </c>
      <c r="C12" s="74">
        <v>35</v>
      </c>
      <c r="D12" s="75">
        <v>52</v>
      </c>
      <c r="E12" s="109">
        <f t="shared" si="0"/>
        <v>46082.400000000001</v>
      </c>
      <c r="F12" s="109">
        <f t="shared" ref="F12:F13" si="1">IF($E12*$F$9&lt;$F$8,($E12-3500)*$F$9,$F$8)</f>
        <v>2299.4495999999999</v>
      </c>
      <c r="G12" s="109">
        <f>$E12*$G$9</f>
        <v>1963.11024</v>
      </c>
      <c r="H12" s="109">
        <f>IF($E12*$H$9&lt;$H$8,$E12*$H$9,$H$8)</f>
        <v>353.45200799999998</v>
      </c>
      <c r="I12" s="109">
        <f>IF($E12*$I$9&lt;$I$8,$E12*$I$9,$I$8)</f>
        <v>769.57608000000005</v>
      </c>
      <c r="J12" s="109">
        <f>IF($E12*$J$9&lt;$J$8,$E12*$J$9,$J$8)</f>
        <v>819.34507199999985</v>
      </c>
      <c r="K12" s="109">
        <f>$E12*$K$9</f>
        <v>921.64800000000002</v>
      </c>
      <c r="L12" s="109">
        <f>$E12*$L$9</f>
        <v>1036.854</v>
      </c>
      <c r="M12" s="109">
        <f t="shared" ref="M12:M14" si="2">SUM(E12:L12)</f>
        <v>54245.834999999999</v>
      </c>
      <c r="N12" s="64">
        <f t="shared" ref="N12:N14" si="3">(+M12-E12)/E12</f>
        <v>0.17714865111192118</v>
      </c>
    </row>
    <row r="13" spans="1:14">
      <c r="A13" s="73"/>
      <c r="B13" s="78"/>
      <c r="C13" s="74">
        <v>35</v>
      </c>
      <c r="D13" s="75">
        <v>52</v>
      </c>
      <c r="E13" s="109">
        <f t="shared" si="0"/>
        <v>0</v>
      </c>
      <c r="F13" s="109">
        <f t="shared" si="1"/>
        <v>-189</v>
      </c>
      <c r="G13" s="109">
        <f>$E13*$G$9</f>
        <v>0</v>
      </c>
      <c r="H13" s="109">
        <f>IF($E13*$H$9&lt;$H$8,$E13*$H$9,$H$8)</f>
        <v>0</v>
      </c>
      <c r="I13" s="109">
        <f>IF($E13*$I$9&lt;$I$8,$E13*$I$9,$I$8)</f>
        <v>0</v>
      </c>
      <c r="J13" s="109">
        <f>IF($E13*$J$9&lt;$J$8,$E13*$J$9,$J$8)</f>
        <v>0</v>
      </c>
      <c r="K13" s="109">
        <f>$E13*$K$9</f>
        <v>0</v>
      </c>
      <c r="L13" s="109">
        <f>$E13*$L$9</f>
        <v>0</v>
      </c>
      <c r="M13" s="109">
        <f t="shared" si="2"/>
        <v>-189</v>
      </c>
      <c r="N13" s="64" t="e">
        <f t="shared" si="3"/>
        <v>#DIV/0!</v>
      </c>
    </row>
    <row r="14" spans="1:14">
      <c r="A14" s="73"/>
      <c r="B14" s="78"/>
      <c r="C14" s="74">
        <v>35</v>
      </c>
      <c r="D14" s="75">
        <v>52</v>
      </c>
      <c r="E14" s="109">
        <f t="shared" si="0"/>
        <v>0</v>
      </c>
      <c r="F14" s="109">
        <f>IF($E14*$F$9&lt;$F$8,($E14-3500)*$F$9,$F$8)</f>
        <v>-189</v>
      </c>
      <c r="G14" s="109">
        <f>$E14*$G$9</f>
        <v>0</v>
      </c>
      <c r="H14" s="109">
        <f>IF($E14*$H$9&lt;$H$8,$E14*$H$9,$H$8)</f>
        <v>0</v>
      </c>
      <c r="I14" s="109">
        <f>IF($E14*$I$9&lt;$I$8,$E14*$I$9,$I$8)</f>
        <v>0</v>
      </c>
      <c r="J14" s="109">
        <f>IF($E14*$J$9&lt;$J$8,$E14*$J$9,$J$8)</f>
        <v>0</v>
      </c>
      <c r="K14" s="109">
        <f>$E14*$K$9</f>
        <v>0</v>
      </c>
      <c r="L14" s="109">
        <f>$E14*$L$9</f>
        <v>0</v>
      </c>
      <c r="M14" s="109">
        <f t="shared" si="2"/>
        <v>-189</v>
      </c>
      <c r="N14" s="64" t="e">
        <f t="shared" si="3"/>
        <v>#DIV/0!</v>
      </c>
    </row>
    <row r="15" spans="1:14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4" ht="13.9" thickBot="1">
      <c r="B16" s="35" t="s">
        <v>70</v>
      </c>
      <c r="C16" s="35"/>
      <c r="D16" s="35"/>
      <c r="E16" s="36">
        <f t="shared" ref="E16:M16" si="4">SUM(E11:E14)</f>
        <v>76112.399999999994</v>
      </c>
      <c r="F16" s="36">
        <f t="shared" si="4"/>
        <v>3354.0695999999998</v>
      </c>
      <c r="G16" s="36">
        <f t="shared" si="4"/>
        <v>3242.3882400000002</v>
      </c>
      <c r="H16" s="36">
        <f t="shared" si="4"/>
        <v>583.78210799999999</v>
      </c>
      <c r="I16" s="36">
        <f t="shared" si="4"/>
        <v>1271.07708</v>
      </c>
      <c r="J16" s="36">
        <f t="shared" si="4"/>
        <v>1353.2784719999997</v>
      </c>
      <c r="K16" s="36">
        <f t="shared" si="4"/>
        <v>1522.248</v>
      </c>
      <c r="L16" s="36">
        <f t="shared" si="4"/>
        <v>1712.529</v>
      </c>
      <c r="M16" s="36">
        <f t="shared" si="4"/>
        <v>89151.772499999992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89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2797.2</v>
      </c>
      <c r="G24" s="53"/>
      <c r="H24" s="53">
        <f t="shared" si="5"/>
        <v>556.08000000000004</v>
      </c>
      <c r="I24" s="53">
        <f t="shared" si="5"/>
        <v>1210.75</v>
      </c>
      <c r="J24" s="53">
        <f>J8</f>
        <v>912.11399999999992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5.3999999999999999E-2</v>
      </c>
      <c r="G25" s="54">
        <f>G9</f>
        <v>4.2599999999999999E-2</v>
      </c>
      <c r="H25" s="54">
        <f t="shared" si="5"/>
        <v>7.6699999999999997E-3</v>
      </c>
      <c r="I25" s="54">
        <f t="shared" si="5"/>
        <v>1.67E-2</v>
      </c>
      <c r="J25" s="54">
        <f>J9</f>
        <v>1.7779999999999997E-2</v>
      </c>
      <c r="K25" s="55">
        <v>0.04</v>
      </c>
      <c r="L25" s="55">
        <f>L9</f>
        <v>2.2499999999999999E-2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55300</v>
      </c>
      <c r="G26" s="56"/>
      <c r="H26" s="56">
        <f t="shared" si="5"/>
        <v>72500</v>
      </c>
      <c r="I26" s="56">
        <f t="shared" si="5"/>
        <v>72500</v>
      </c>
      <c r="J26" s="56">
        <f>J10</f>
        <v>51300</v>
      </c>
      <c r="K26" s="47"/>
      <c r="L26" s="58"/>
      <c r="M26" s="58"/>
      <c r="N26" s="58"/>
      <c r="O26" s="50"/>
    </row>
    <row r="27" spans="1:16">
      <c r="A27" s="73"/>
      <c r="B27" s="78">
        <v>22</v>
      </c>
      <c r="C27" s="74">
        <v>21</v>
      </c>
      <c r="D27" s="75">
        <v>52</v>
      </c>
      <c r="E27" s="109">
        <f>B27*C27*D27</f>
        <v>24024</v>
      </c>
      <c r="F27" s="109">
        <f>IF($E27*$F$25&lt;$F$24,($E27-3500)*$F$25,$F$24)</f>
        <v>1108.296</v>
      </c>
      <c r="G27" s="109">
        <f>$E27*$G$25</f>
        <v>1023.4223999999999</v>
      </c>
      <c r="H27" s="109">
        <f>IF($E27*$H$25&lt;$H$24,$E27*$H$25,$H$24)</f>
        <v>184.26408000000001</v>
      </c>
      <c r="I27" s="109">
        <f>IF($E27*$I$25&lt;$I$24,$E27*$I$25,$I$24)</f>
        <v>401.20080000000002</v>
      </c>
      <c r="J27" s="109">
        <f>IF($E27*$J$25&lt;$J$24,$E27*$J$25,$J$24)</f>
        <v>427.14671999999996</v>
      </c>
      <c r="K27" s="109">
        <f>$E27*$K$25</f>
        <v>960.96</v>
      </c>
      <c r="L27" s="109">
        <f>$E27*$L$25</f>
        <v>540.54</v>
      </c>
      <c r="M27" s="109">
        <f t="shared" ref="M27:M32" si="6">$E27*$M$25</f>
        <v>1921.92</v>
      </c>
      <c r="N27" s="109">
        <f t="shared" ref="N27:N32" si="7">$E27*$N$25</f>
        <v>1419.8183999999999</v>
      </c>
      <c r="O27" s="109">
        <f>SUM(E27:N27)</f>
        <v>32011.5684</v>
      </c>
      <c r="P27" s="72">
        <f>(+O27-E27)/E27</f>
        <v>0.33248286713286712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-189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-189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-189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-189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-189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-189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-189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-189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-189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-189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24024</v>
      </c>
      <c r="F34" s="36">
        <f t="shared" si="18"/>
        <v>163.29600000000005</v>
      </c>
      <c r="G34" s="36">
        <f t="shared" si="18"/>
        <v>1023.4223999999999</v>
      </c>
      <c r="H34" s="36">
        <f t="shared" si="18"/>
        <v>184.26408000000001</v>
      </c>
      <c r="I34" s="36">
        <f t="shared" si="18"/>
        <v>401.20080000000002</v>
      </c>
      <c r="J34" s="36">
        <f t="shared" si="18"/>
        <v>427.14671999999996</v>
      </c>
      <c r="K34" s="36">
        <f t="shared" si="18"/>
        <v>960.96</v>
      </c>
      <c r="L34" s="36">
        <f t="shared" si="18"/>
        <v>540.54</v>
      </c>
      <c r="M34" s="36">
        <f t="shared" si="18"/>
        <v>1921.92</v>
      </c>
      <c r="N34" s="36">
        <f t="shared" si="18"/>
        <v>1419.8183999999999</v>
      </c>
      <c r="O34" s="36">
        <f t="shared" si="18"/>
        <v>31066.5684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72" orientation="landscape" r:id="rId1"/>
  <headerFooter>
    <oddFooter>&amp;L&amp;8&amp;Z&amp;F&amp;R&amp;8&amp;D     &amp;T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37"/>
  <sheetViews>
    <sheetView workbookViewId="0">
      <selection activeCell="F9" sqref="F9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6" ht="22.9">
      <c r="A1" s="77" t="s">
        <v>90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4.45">
      <c r="A2" s="32" t="s">
        <v>91</v>
      </c>
      <c r="E2" s="8"/>
      <c r="F2" s="115"/>
      <c r="G2" s="115"/>
      <c r="H2" s="115"/>
      <c r="I2" s="115"/>
      <c r="J2" s="115"/>
      <c r="K2" s="8"/>
      <c r="L2" s="33"/>
      <c r="M2" s="8"/>
    </row>
    <row r="3" spans="1:16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6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6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6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6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6">
      <c r="A8" s="43"/>
      <c r="B8" s="80" t="s">
        <v>80</v>
      </c>
      <c r="C8" s="43"/>
      <c r="D8" s="43"/>
      <c r="E8" s="44"/>
      <c r="F8" s="53">
        <v>2829.6</v>
      </c>
      <c r="G8" s="53"/>
      <c r="H8" s="53">
        <v>556.08000000000004</v>
      </c>
      <c r="I8" s="53">
        <f>+I10*I9</f>
        <v>1036.75</v>
      </c>
      <c r="J8" s="53">
        <f>672.1*1.4</f>
        <v>940.93999999999994</v>
      </c>
      <c r="K8" s="53" t="s">
        <v>69</v>
      </c>
      <c r="L8" s="53"/>
      <c r="M8" s="49"/>
    </row>
    <row r="9" spans="1:16">
      <c r="A9" s="45"/>
      <c r="B9" s="81" t="s">
        <v>81</v>
      </c>
      <c r="C9" s="45"/>
      <c r="D9" s="45"/>
      <c r="E9" s="44"/>
      <c r="F9" s="54">
        <v>5.3999999999999999E-2</v>
      </c>
      <c r="G9" s="55">
        <v>4.2599999999999999E-2</v>
      </c>
      <c r="H9" s="54">
        <v>7.6699999999999997E-3</v>
      </c>
      <c r="I9" s="55">
        <v>1.43E-2</v>
      </c>
      <c r="J9" s="54">
        <f>1.3*1.4%</f>
        <v>1.8199999999999997E-2</v>
      </c>
      <c r="K9" s="55">
        <v>0.02</v>
      </c>
      <c r="L9" s="55">
        <v>2.2499999999999999E-2</v>
      </c>
      <c r="M9" s="49"/>
    </row>
    <row r="10" spans="1:16">
      <c r="A10" s="46"/>
      <c r="B10" s="79" t="s">
        <v>82</v>
      </c>
      <c r="C10" s="46"/>
      <c r="D10" s="46"/>
      <c r="E10" s="47"/>
      <c r="F10" s="56">
        <v>55900</v>
      </c>
      <c r="G10" s="57"/>
      <c r="H10" s="56">
        <v>74000</v>
      </c>
      <c r="I10" s="56">
        <v>72500</v>
      </c>
      <c r="J10" s="56">
        <v>51700</v>
      </c>
      <c r="K10" s="47"/>
      <c r="L10" s="58"/>
      <c r="M10" s="50"/>
    </row>
    <row r="11" spans="1:16">
      <c r="A11" s="73"/>
      <c r="B11" s="78">
        <v>32.93</v>
      </c>
      <c r="C11" s="74">
        <v>35</v>
      </c>
      <c r="D11" s="75">
        <v>52</v>
      </c>
      <c r="E11" s="109">
        <f t="shared" ref="E11:E14" si="0">B11*C11*D11</f>
        <v>59932.6</v>
      </c>
      <c r="F11" s="109">
        <f>IF($E11*$F$9&lt;$F$8,($E11-3500)*$F$9,$F$8)</f>
        <v>2829.6</v>
      </c>
      <c r="G11" s="109">
        <f>$E11*$G$9</f>
        <v>2553.1287600000001</v>
      </c>
      <c r="H11" s="109">
        <f>IF($E11*$H$9&lt;$H$8,$E11*$H$9,$H$8)</f>
        <v>459.683042</v>
      </c>
      <c r="I11" s="109">
        <f>IF($E11*$I$9&lt;$I$8,$E11*$I$9,$I$8)</f>
        <v>857.03617999999994</v>
      </c>
      <c r="J11" s="109">
        <f>IF($E11*$J$9&lt;$J$8,$E11*$J$9,$J$8)</f>
        <v>940.93999999999994</v>
      </c>
      <c r="K11" s="109">
        <f>$E11*$K$9</f>
        <v>1198.652</v>
      </c>
      <c r="L11" s="109">
        <f>$E11*$L$9</f>
        <v>1348.4834999999998</v>
      </c>
      <c r="M11" s="109">
        <f>SUM(E11:L11)</f>
        <v>70120.123481999995</v>
      </c>
      <c r="N11" s="71">
        <f>(+M11-E11)/E11</f>
        <v>0.16998300560963478</v>
      </c>
      <c r="O11" s="85">
        <f>M11/52</f>
        <v>1348.4639131153845</v>
      </c>
      <c r="P11" s="85">
        <f>O11/35</f>
        <v>38.52754037472527</v>
      </c>
    </row>
    <row r="12" spans="1:16">
      <c r="A12" s="73"/>
      <c r="B12" s="78">
        <v>35</v>
      </c>
      <c r="C12" s="74">
        <v>35</v>
      </c>
      <c r="D12" s="75">
        <v>52</v>
      </c>
      <c r="E12" s="109">
        <f t="shared" si="0"/>
        <v>63700</v>
      </c>
      <c r="F12" s="109">
        <f t="shared" ref="F12:F13" si="1">IF($E12*$F$9&lt;$F$8,($E12-3500)*$F$9,$F$8)</f>
        <v>2829.6</v>
      </c>
      <c r="G12" s="109">
        <f>$E12*$G$9</f>
        <v>2713.62</v>
      </c>
      <c r="H12" s="109">
        <f>IF($E12*$H$9&lt;$H$8,$E12*$H$9,$H$8)</f>
        <v>488.57900000000001</v>
      </c>
      <c r="I12" s="109">
        <f>IF($E12*$I$9&lt;$I$8,$E12*$I$9,$I$8)</f>
        <v>910.91</v>
      </c>
      <c r="J12" s="109">
        <f>IF($E12*$J$9&lt;$J$8,$E12*$J$9,$J$8)</f>
        <v>940.93999999999994</v>
      </c>
      <c r="K12" s="109">
        <f>$E12*$K$9</f>
        <v>1274</v>
      </c>
      <c r="L12" s="109">
        <f>$E12*$L$9</f>
        <v>1433.25</v>
      </c>
      <c r="M12" s="109">
        <f t="shared" ref="M12:M14" si="2">SUM(E12:L12)</f>
        <v>74290.899000000005</v>
      </c>
      <c r="N12" s="64">
        <f t="shared" ref="N12:N14" si="3">(+M12-E12)/E12</f>
        <v>0.16626215070643649</v>
      </c>
      <c r="O12" s="85">
        <f>M12/52</f>
        <v>1428.6711346153847</v>
      </c>
      <c r="P12" s="85">
        <f>O12/35</f>
        <v>40.819175274725275</v>
      </c>
    </row>
    <row r="13" spans="1:16">
      <c r="A13" s="73"/>
      <c r="B13" s="78">
        <v>39.83</v>
      </c>
      <c r="C13" s="74">
        <v>35</v>
      </c>
      <c r="D13" s="75">
        <v>52</v>
      </c>
      <c r="E13" s="109">
        <f t="shared" si="0"/>
        <v>72490.599999999991</v>
      </c>
      <c r="F13" s="109">
        <f t="shared" si="1"/>
        <v>2829.6</v>
      </c>
      <c r="G13" s="109">
        <f>$E13*$G$9</f>
        <v>3088.0995599999997</v>
      </c>
      <c r="H13" s="109">
        <f>IF($E13*$H$9&lt;$H$8,$E13*$H$9,$H$8)</f>
        <v>556.00290199999995</v>
      </c>
      <c r="I13" s="109">
        <f>IF($E13*$I$9&lt;$I$8,$E13*$I$9,$I$8)</f>
        <v>1036.6155799999999</v>
      </c>
      <c r="J13" s="109">
        <f>IF($E13*$J$9&lt;$J$8,$E13*$J$9,$J$8)</f>
        <v>940.93999999999994</v>
      </c>
      <c r="K13" s="109">
        <f>$E13*$K$9</f>
        <v>1449.8119999999999</v>
      </c>
      <c r="L13" s="109">
        <f>$E13*$L$9</f>
        <v>1631.0384999999997</v>
      </c>
      <c r="M13" s="109">
        <f t="shared" si="2"/>
        <v>84022.708541999993</v>
      </c>
      <c r="N13" s="64">
        <f t="shared" si="3"/>
        <v>0.15908419218491782</v>
      </c>
    </row>
    <row r="14" spans="1:16">
      <c r="A14" s="73"/>
      <c r="B14" s="78">
        <v>0</v>
      </c>
      <c r="C14" s="74">
        <v>35</v>
      </c>
      <c r="D14" s="75">
        <v>52</v>
      </c>
      <c r="E14" s="109">
        <f t="shared" si="0"/>
        <v>0</v>
      </c>
      <c r="F14" s="109">
        <f>IF($E14*$F$9&lt;$F$8,($E14-3500)*$F$9,$F$8)</f>
        <v>-189</v>
      </c>
      <c r="G14" s="109">
        <f>$E14*$G$9</f>
        <v>0</v>
      </c>
      <c r="H14" s="109">
        <f>IF($E14*$H$9&lt;$H$8,$E14*$H$9,$H$8)</f>
        <v>0</v>
      </c>
      <c r="I14" s="109">
        <f>IF($E14*$I$9&lt;$I$8,$E14*$I$9,$I$8)</f>
        <v>0</v>
      </c>
      <c r="J14" s="109">
        <f>IF($E14*$J$9&lt;$J$8,$E14*$J$9,$J$8)</f>
        <v>0</v>
      </c>
      <c r="K14" s="109">
        <f>$E14*$K$9</f>
        <v>0</v>
      </c>
      <c r="L14" s="109">
        <f>$E14*$L$9</f>
        <v>0</v>
      </c>
      <c r="M14" s="109">
        <f t="shared" si="2"/>
        <v>-189</v>
      </c>
      <c r="N14" s="64" t="e">
        <f t="shared" si="3"/>
        <v>#DIV/0!</v>
      </c>
    </row>
    <row r="15" spans="1:16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6" ht="13.9" thickBot="1">
      <c r="B16" s="35" t="s">
        <v>70</v>
      </c>
      <c r="C16" s="35"/>
      <c r="D16" s="35"/>
      <c r="E16" s="36">
        <f t="shared" ref="E16:M16" si="4">SUM(E11:E14)</f>
        <v>196123.2</v>
      </c>
      <c r="F16" s="36">
        <f t="shared" si="4"/>
        <v>8299.7999999999993</v>
      </c>
      <c r="G16" s="36">
        <f t="shared" si="4"/>
        <v>8354.848320000001</v>
      </c>
      <c r="H16" s="36">
        <f t="shared" si="4"/>
        <v>1504.264944</v>
      </c>
      <c r="I16" s="36">
        <f t="shared" si="4"/>
        <v>2804.5617599999996</v>
      </c>
      <c r="J16" s="36">
        <f t="shared" si="4"/>
        <v>2822.8199999999997</v>
      </c>
      <c r="K16" s="36">
        <f t="shared" si="4"/>
        <v>3922.4639999999999</v>
      </c>
      <c r="L16" s="36">
        <f t="shared" si="4"/>
        <v>4412.771999999999</v>
      </c>
      <c r="M16" s="36">
        <f t="shared" si="4"/>
        <v>228244.73102399998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89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2829.6</v>
      </c>
      <c r="G24" s="53"/>
      <c r="H24" s="53">
        <f t="shared" si="5"/>
        <v>556.08000000000004</v>
      </c>
      <c r="I24" s="53">
        <f t="shared" si="5"/>
        <v>1036.75</v>
      </c>
      <c r="J24" s="53">
        <f>J8</f>
        <v>940.93999999999994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5.3999999999999999E-2</v>
      </c>
      <c r="G25" s="54">
        <f>G9</f>
        <v>4.2599999999999999E-2</v>
      </c>
      <c r="H25" s="54">
        <f t="shared" si="5"/>
        <v>7.6699999999999997E-3</v>
      </c>
      <c r="I25" s="54">
        <f t="shared" si="5"/>
        <v>1.43E-2</v>
      </c>
      <c r="J25" s="54">
        <f>J9</f>
        <v>1.8199999999999997E-2</v>
      </c>
      <c r="K25" s="55">
        <v>0.04</v>
      </c>
      <c r="L25" s="55">
        <f>L9</f>
        <v>2.2499999999999999E-2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55900</v>
      </c>
      <c r="G26" s="56"/>
      <c r="H26" s="56">
        <f t="shared" si="5"/>
        <v>74000</v>
      </c>
      <c r="I26" s="56">
        <f t="shared" si="5"/>
        <v>72500</v>
      </c>
      <c r="J26" s="56">
        <f>J10</f>
        <v>51700</v>
      </c>
      <c r="K26" s="47"/>
      <c r="L26" s="58"/>
      <c r="M26" s="58"/>
      <c r="N26" s="58"/>
      <c r="O26" s="50"/>
    </row>
    <row r="27" spans="1:16">
      <c r="A27" s="73"/>
      <c r="B27" s="78">
        <v>34.47</v>
      </c>
      <c r="C27" s="74">
        <v>35</v>
      </c>
      <c r="D27" s="75">
        <v>52</v>
      </c>
      <c r="E27" s="109">
        <f>B27*C27*D27</f>
        <v>62735.4</v>
      </c>
      <c r="F27" s="109">
        <f>IF($E27*$F$25&lt;$F$24,($E27-3500)*$F$25,$F$24)</f>
        <v>2829.6</v>
      </c>
      <c r="G27" s="109">
        <f>$E27*$G$25</f>
        <v>2672.5280400000001</v>
      </c>
      <c r="H27" s="109">
        <f>IF($E27*$H$25&lt;$H$24,$E27*$H$25,$H$24)</f>
        <v>481.18051800000001</v>
      </c>
      <c r="I27" s="109">
        <f>IF($E27*$I$25&lt;$I$24,$E27*$I$25,$I$24)</f>
        <v>897.11622</v>
      </c>
      <c r="J27" s="109">
        <f>IF($E27*$J$25&lt;$J$24,$E27*$J$25,$J$24)</f>
        <v>940.93999999999994</v>
      </c>
      <c r="K27" s="109">
        <f>$E27*$K$25</f>
        <v>2509.4160000000002</v>
      </c>
      <c r="L27" s="109">
        <f>$E27*$L$25</f>
        <v>1411.5464999999999</v>
      </c>
      <c r="M27" s="109">
        <f t="shared" ref="M27:M32" si="6">$E27*$M$25</f>
        <v>5018.8320000000003</v>
      </c>
      <c r="N27" s="109">
        <f t="shared" ref="N27:N32" si="7">$E27*$N$25</f>
        <v>3707.6621399999999</v>
      </c>
      <c r="O27" s="109">
        <f>SUM(E27:N27)</f>
        <v>83204.221417999986</v>
      </c>
      <c r="P27" s="72">
        <f>(+O27-E27)/E27</f>
        <v>0.32627227080723137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-189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-189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-189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-189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-189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-189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-189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-189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-189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-189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62735.4</v>
      </c>
      <c r="F34" s="36">
        <f t="shared" si="18"/>
        <v>1884.6</v>
      </c>
      <c r="G34" s="36">
        <f t="shared" si="18"/>
        <v>2672.5280400000001</v>
      </c>
      <c r="H34" s="36">
        <f t="shared" si="18"/>
        <v>481.18051800000001</v>
      </c>
      <c r="I34" s="36">
        <f t="shared" si="18"/>
        <v>897.11622</v>
      </c>
      <c r="J34" s="36">
        <f t="shared" si="18"/>
        <v>940.93999999999994</v>
      </c>
      <c r="K34" s="36">
        <f t="shared" si="18"/>
        <v>2509.4160000000002</v>
      </c>
      <c r="L34" s="36">
        <f t="shared" si="18"/>
        <v>1411.5464999999999</v>
      </c>
      <c r="M34" s="36">
        <f t="shared" si="18"/>
        <v>5018.8320000000003</v>
      </c>
      <c r="N34" s="36">
        <f t="shared" si="18"/>
        <v>3707.6621399999999</v>
      </c>
      <c r="O34" s="36">
        <f t="shared" si="18"/>
        <v>82259.221417999986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72" orientation="landscape" r:id="rId1"/>
  <headerFooter>
    <oddFooter>&amp;L&amp;8&amp;Z&amp;F&amp;R&amp;8&amp;D     &amp;T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37"/>
  <sheetViews>
    <sheetView workbookViewId="0">
      <selection activeCell="B11" sqref="B11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6" ht="22.9">
      <c r="A1" s="77" t="s">
        <v>92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4.45">
      <c r="A2" s="32" t="s">
        <v>91</v>
      </c>
      <c r="E2" s="8"/>
      <c r="F2" s="115"/>
      <c r="G2" s="115"/>
      <c r="H2" s="115"/>
      <c r="I2" s="115"/>
      <c r="J2" s="115"/>
      <c r="K2" s="8"/>
      <c r="L2" s="33"/>
      <c r="M2" s="8"/>
    </row>
    <row r="3" spans="1:16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6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6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6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6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6">
      <c r="A8" s="43"/>
      <c r="B8" s="80" t="s">
        <v>80</v>
      </c>
      <c r="C8" s="43"/>
      <c r="D8" s="43"/>
      <c r="E8" s="44"/>
      <c r="F8" s="53">
        <v>2991.45</v>
      </c>
      <c r="G8" s="53"/>
      <c r="H8" s="53">
        <f>H10*H9</f>
        <v>563.04</v>
      </c>
      <c r="I8" s="53">
        <f>+I10*I9</f>
        <v>1103.895</v>
      </c>
      <c r="J8" s="53">
        <f>663.75*1.4</f>
        <v>929.24999999999989</v>
      </c>
      <c r="K8" s="53" t="s">
        <v>69</v>
      </c>
      <c r="L8" s="53"/>
      <c r="M8" s="49"/>
    </row>
    <row r="9" spans="1:16">
      <c r="A9" s="45"/>
      <c r="B9" s="81" t="s">
        <v>81</v>
      </c>
      <c r="C9" s="45"/>
      <c r="D9" s="45"/>
      <c r="E9" s="44"/>
      <c r="F9" s="54">
        <v>5.5500000000000001E-2</v>
      </c>
      <c r="G9" s="55">
        <v>4.2599999999999999E-2</v>
      </c>
      <c r="H9" s="54">
        <v>7.3600000000000002E-3</v>
      </c>
      <c r="I9" s="54">
        <v>1.443E-2</v>
      </c>
      <c r="J9" s="54">
        <f>1.25*1.4%</f>
        <v>1.7499999999999998E-2</v>
      </c>
      <c r="K9" s="55">
        <v>0.02</v>
      </c>
      <c r="L9" s="55">
        <v>2.2499999999999999E-2</v>
      </c>
      <c r="M9" s="49"/>
    </row>
    <row r="10" spans="1:16">
      <c r="A10" s="46"/>
      <c r="B10" s="79" t="s">
        <v>82</v>
      </c>
      <c r="C10" s="46"/>
      <c r="D10" s="46"/>
      <c r="E10" s="47"/>
      <c r="F10" s="56">
        <v>57400</v>
      </c>
      <c r="G10" s="57"/>
      <c r="H10" s="56">
        <v>76500</v>
      </c>
      <c r="I10" s="56">
        <v>76500</v>
      </c>
      <c r="J10" s="56">
        <v>53100</v>
      </c>
      <c r="K10" s="47"/>
      <c r="L10" s="58"/>
      <c r="M10" s="50"/>
    </row>
    <row r="11" spans="1:16">
      <c r="A11" s="73"/>
      <c r="B11" s="78">
        <v>32.15</v>
      </c>
      <c r="C11" s="74">
        <v>35</v>
      </c>
      <c r="D11" s="75">
        <v>52</v>
      </c>
      <c r="E11" s="109">
        <f t="shared" ref="E11:E14" si="0">B11*C11*D11</f>
        <v>58513</v>
      </c>
      <c r="F11" s="109">
        <f>IF($E11*$F$9&lt;$F$8,($E11-3500)*$F$9,$F$8)</f>
        <v>2991.45</v>
      </c>
      <c r="G11" s="109">
        <f>$E11*$G$9</f>
        <v>2492.6538</v>
      </c>
      <c r="H11" s="109">
        <f>IF($E11*$H$9&lt;$H$8,$E11*$H$9,$H$8)</f>
        <v>430.65568000000002</v>
      </c>
      <c r="I11" s="109">
        <f>IF($E11*$I$9&lt;$I$8,$E11*$I$9,$I$8)</f>
        <v>844.34258999999997</v>
      </c>
      <c r="J11" s="109">
        <f>IF($E11*$J$9&lt;$J$8,$E11*$J$9,$J$8)</f>
        <v>929.24999999999989</v>
      </c>
      <c r="K11" s="109">
        <f>$E11*$K$9</f>
        <v>1170.26</v>
      </c>
      <c r="L11" s="109">
        <f>$E11*$L$9</f>
        <v>1316.5425</v>
      </c>
      <c r="M11" s="109">
        <f>SUM(E11:L11)</f>
        <v>68688.154569999984</v>
      </c>
      <c r="N11" s="71">
        <f>(+M11-E11)/E11</f>
        <v>0.17389562268213873</v>
      </c>
      <c r="O11" s="85"/>
      <c r="P11" s="85"/>
    </row>
    <row r="12" spans="1:16">
      <c r="A12" s="73"/>
      <c r="B12" s="78"/>
      <c r="C12" s="74">
        <v>35</v>
      </c>
      <c r="D12" s="75">
        <v>52</v>
      </c>
      <c r="E12" s="109">
        <f t="shared" si="0"/>
        <v>0</v>
      </c>
      <c r="F12" s="109">
        <f t="shared" ref="F12:F13" si="1">IF($E12*$F$9&lt;$F$8,($E12-3500)*$F$9,$F$8)</f>
        <v>-194.25</v>
      </c>
      <c r="G12" s="109">
        <f>$E12*$G$9</f>
        <v>0</v>
      </c>
      <c r="H12" s="109">
        <f>IF($E12*$H$9&lt;$H$8,$E12*$H$9,$H$8)</f>
        <v>0</v>
      </c>
      <c r="I12" s="109">
        <f>IF($E12*$I$9&lt;$I$8,$E12*$I$9,$I$8)</f>
        <v>0</v>
      </c>
      <c r="J12" s="109">
        <f>IF($E12*$J$9&lt;$J$8,$E12*$J$9,$J$8)</f>
        <v>0</v>
      </c>
      <c r="K12" s="109">
        <f>$E12*$K$9</f>
        <v>0</v>
      </c>
      <c r="L12" s="109">
        <f>$E12*$L$9</f>
        <v>0</v>
      </c>
      <c r="M12" s="109">
        <f t="shared" ref="M12:M14" si="2">SUM(E12:L12)</f>
        <v>-194.25</v>
      </c>
      <c r="N12" s="64" t="e">
        <f t="shared" ref="N12:N14" si="3">(+M12-E12)/E12</f>
        <v>#DIV/0!</v>
      </c>
      <c r="O12" s="85"/>
      <c r="P12" s="85"/>
    </row>
    <row r="13" spans="1:16">
      <c r="A13" s="73"/>
      <c r="B13" s="78"/>
      <c r="C13" s="74">
        <v>35</v>
      </c>
      <c r="D13" s="75">
        <v>52</v>
      </c>
      <c r="E13" s="109">
        <f t="shared" si="0"/>
        <v>0</v>
      </c>
      <c r="F13" s="109">
        <f t="shared" si="1"/>
        <v>-194.25</v>
      </c>
      <c r="G13" s="109">
        <f>$E13*$G$9</f>
        <v>0</v>
      </c>
      <c r="H13" s="109">
        <f>IF($E13*$H$9&lt;$H$8,$E13*$H$9,$H$8)</f>
        <v>0</v>
      </c>
      <c r="I13" s="109">
        <f>IF($E13*$I$9&lt;$I$8,$E13*$I$9,$I$8)</f>
        <v>0</v>
      </c>
      <c r="J13" s="109">
        <f>IF($E13*$J$9&lt;$J$8,$E13*$J$9,$J$8)</f>
        <v>0</v>
      </c>
      <c r="K13" s="109">
        <f>$E13*$K$9</f>
        <v>0</v>
      </c>
      <c r="L13" s="109">
        <f>$E13*$L$9</f>
        <v>0</v>
      </c>
      <c r="M13" s="109">
        <f t="shared" si="2"/>
        <v>-194.25</v>
      </c>
      <c r="N13" s="64" t="e">
        <f t="shared" si="3"/>
        <v>#DIV/0!</v>
      </c>
    </row>
    <row r="14" spans="1:16">
      <c r="A14" s="73"/>
      <c r="B14" s="78">
        <v>0</v>
      </c>
      <c r="C14" s="74">
        <v>35</v>
      </c>
      <c r="D14" s="75">
        <v>52</v>
      </c>
      <c r="E14" s="109">
        <f t="shared" si="0"/>
        <v>0</v>
      </c>
      <c r="F14" s="109">
        <f>IF($E14*$F$9&lt;$F$8,($E14-3500)*$F$9,$F$8)</f>
        <v>-194.25</v>
      </c>
      <c r="G14" s="109">
        <f>$E14*$G$9</f>
        <v>0</v>
      </c>
      <c r="H14" s="109">
        <f>IF($E14*$H$9&lt;$H$8,$E14*$H$9,$H$8)</f>
        <v>0</v>
      </c>
      <c r="I14" s="109">
        <f>IF($E14*$I$9&lt;$I$8,$E14*$I$9,$I$8)</f>
        <v>0</v>
      </c>
      <c r="J14" s="109">
        <f>IF($E14*$J$9&lt;$J$8,$E14*$J$9,$J$8)</f>
        <v>0</v>
      </c>
      <c r="K14" s="109">
        <f>$E14*$K$9</f>
        <v>0</v>
      </c>
      <c r="L14" s="109">
        <f>$E14*$L$9</f>
        <v>0</v>
      </c>
      <c r="M14" s="109">
        <f t="shared" si="2"/>
        <v>-194.25</v>
      </c>
      <c r="N14" s="64" t="e">
        <f t="shared" si="3"/>
        <v>#DIV/0!</v>
      </c>
    </row>
    <row r="15" spans="1:16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6" ht="13.9" thickBot="1">
      <c r="B16" s="35" t="s">
        <v>70</v>
      </c>
      <c r="C16" s="35"/>
      <c r="D16" s="35"/>
      <c r="E16" s="36">
        <f t="shared" ref="E16:M16" si="4">SUM(E11:E14)</f>
        <v>58513</v>
      </c>
      <c r="F16" s="36">
        <f t="shared" si="4"/>
        <v>2408.6999999999998</v>
      </c>
      <c r="G16" s="36">
        <f t="shared" si="4"/>
        <v>2492.6538</v>
      </c>
      <c r="H16" s="36">
        <f t="shared" si="4"/>
        <v>430.65568000000002</v>
      </c>
      <c r="I16" s="36">
        <f t="shared" si="4"/>
        <v>844.34258999999997</v>
      </c>
      <c r="J16" s="36">
        <f t="shared" si="4"/>
        <v>929.24999999999989</v>
      </c>
      <c r="K16" s="36">
        <f t="shared" si="4"/>
        <v>1170.26</v>
      </c>
      <c r="L16" s="36">
        <f t="shared" si="4"/>
        <v>1316.5425</v>
      </c>
      <c r="M16" s="36">
        <f t="shared" si="4"/>
        <v>68105.404569999984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89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2991.45</v>
      </c>
      <c r="G24" s="53"/>
      <c r="H24" s="53">
        <f t="shared" si="5"/>
        <v>563.04</v>
      </c>
      <c r="I24" s="53">
        <f t="shared" si="5"/>
        <v>1103.895</v>
      </c>
      <c r="J24" s="53">
        <f>J8</f>
        <v>929.24999999999989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5.5500000000000001E-2</v>
      </c>
      <c r="G25" s="54">
        <f>G9</f>
        <v>4.2599999999999999E-2</v>
      </c>
      <c r="H25" s="54">
        <f t="shared" si="5"/>
        <v>7.3600000000000002E-3</v>
      </c>
      <c r="I25" s="54">
        <f t="shared" si="5"/>
        <v>1.443E-2</v>
      </c>
      <c r="J25" s="54">
        <f>J9</f>
        <v>1.7499999999999998E-2</v>
      </c>
      <c r="K25" s="55">
        <v>0.04</v>
      </c>
      <c r="L25" s="55">
        <f>L9</f>
        <v>2.2499999999999999E-2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57400</v>
      </c>
      <c r="G26" s="56"/>
      <c r="H26" s="56">
        <f t="shared" si="5"/>
        <v>76500</v>
      </c>
      <c r="I26" s="56">
        <f t="shared" si="5"/>
        <v>76500</v>
      </c>
      <c r="J26" s="56">
        <f>J10</f>
        <v>53100</v>
      </c>
      <c r="K26" s="47"/>
      <c r="L26" s="58"/>
      <c r="M26" s="58"/>
      <c r="N26" s="58"/>
      <c r="O26" s="50"/>
    </row>
    <row r="27" spans="1:16">
      <c r="A27" s="73"/>
      <c r="B27" s="78">
        <v>0</v>
      </c>
      <c r="C27" s="74">
        <v>35</v>
      </c>
      <c r="D27" s="75">
        <v>52</v>
      </c>
      <c r="E27" s="109">
        <f>B27*C27*D27</f>
        <v>0</v>
      </c>
      <c r="F27" s="109">
        <f>IF($E27*$F$25&lt;$F$24,($E27-3500)*$F$25,$F$24)</f>
        <v>-194.25</v>
      </c>
      <c r="G27" s="109">
        <f>$E27*$G$25</f>
        <v>0</v>
      </c>
      <c r="H27" s="109">
        <f>IF($E27*$H$25&lt;$H$24,$E27*$H$25,$H$24)</f>
        <v>0</v>
      </c>
      <c r="I27" s="109">
        <f>IF($E27*$I$25&lt;$I$24,$E27*$I$25,$I$24)</f>
        <v>0</v>
      </c>
      <c r="J27" s="109">
        <f>IF($E27*$J$25&lt;$J$24,$E27*$J$25,$J$24)</f>
        <v>0</v>
      </c>
      <c r="K27" s="109">
        <f>$E27*$K$25</f>
        <v>0</v>
      </c>
      <c r="L27" s="109">
        <f>$E27*$L$25</f>
        <v>0</v>
      </c>
      <c r="M27" s="109">
        <f t="shared" ref="M27:M32" si="6">$E27*$M$25</f>
        <v>0</v>
      </c>
      <c r="N27" s="109">
        <f t="shared" ref="N27:N32" si="7">$E27*$N$25</f>
        <v>0</v>
      </c>
      <c r="O27" s="109">
        <f>SUM(E27:N27)</f>
        <v>-194.25</v>
      </c>
      <c r="P27" s="72" t="e">
        <f>(+O27-E27)/E27</f>
        <v>#DIV/0!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-194.25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-194.25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-194.25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-194.25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-194.25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-194.25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-194.25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-194.25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-194.25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-194.25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0</v>
      </c>
      <c r="F34" s="36">
        <f t="shared" si="18"/>
        <v>-1165.5</v>
      </c>
      <c r="G34" s="36">
        <f t="shared" si="18"/>
        <v>0</v>
      </c>
      <c r="H34" s="36">
        <f t="shared" si="18"/>
        <v>0</v>
      </c>
      <c r="I34" s="36">
        <f t="shared" si="18"/>
        <v>0</v>
      </c>
      <c r="J34" s="36">
        <f t="shared" si="18"/>
        <v>0</v>
      </c>
      <c r="K34" s="36">
        <f t="shared" si="18"/>
        <v>0</v>
      </c>
      <c r="L34" s="36">
        <f t="shared" si="18"/>
        <v>0</v>
      </c>
      <c r="M34" s="36">
        <f t="shared" si="18"/>
        <v>0</v>
      </c>
      <c r="N34" s="36">
        <f t="shared" si="18"/>
        <v>0</v>
      </c>
      <c r="O34" s="36">
        <f t="shared" si="18"/>
        <v>-1165.5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C32"/>
  <sheetViews>
    <sheetView topLeftCell="A7" workbookViewId="0">
      <selection activeCell="B17" sqref="B17"/>
    </sheetView>
  </sheetViews>
  <sheetFormatPr defaultColWidth="11.42578125" defaultRowHeight="13.15"/>
  <cols>
    <col min="1" max="1" width="23.28515625" customWidth="1"/>
    <col min="2" max="3" width="20.5703125" customWidth="1"/>
  </cols>
  <sheetData>
    <row r="5" spans="1:3" ht="22.9">
      <c r="A5" s="111" t="s">
        <v>11</v>
      </c>
      <c r="B5" s="112"/>
      <c r="C5" s="112"/>
    </row>
    <row r="7" spans="1:3" ht="17.45">
      <c r="B7" s="1" t="s">
        <v>1</v>
      </c>
      <c r="C7" s="1" t="s">
        <v>2</v>
      </c>
    </row>
    <row r="9" spans="1:3">
      <c r="A9" s="2" t="s">
        <v>3</v>
      </c>
      <c r="B9" s="4">
        <v>4.95</v>
      </c>
      <c r="C9" s="4">
        <v>4.95</v>
      </c>
    </row>
    <row r="10" spans="1:3">
      <c r="A10" s="2" t="s">
        <v>4</v>
      </c>
      <c r="B10" s="4">
        <v>4.26</v>
      </c>
      <c r="C10" s="4">
        <v>4.26</v>
      </c>
    </row>
    <row r="11" spans="1:3">
      <c r="A11" s="2" t="s">
        <v>5</v>
      </c>
      <c r="B11" s="4">
        <v>1.38</v>
      </c>
      <c r="C11" s="4">
        <v>1.38</v>
      </c>
    </row>
    <row r="12" spans="1:3">
      <c r="A12" s="2" t="s">
        <v>6</v>
      </c>
      <c r="B12" s="4">
        <v>2.62</v>
      </c>
      <c r="C12" s="4">
        <v>2.62</v>
      </c>
    </row>
    <row r="13" spans="1:3">
      <c r="A13" s="2" t="s">
        <v>7</v>
      </c>
      <c r="B13" s="4">
        <v>8</v>
      </c>
      <c r="C13" s="4">
        <v>10</v>
      </c>
    </row>
    <row r="14" spans="1:3">
      <c r="A14" s="2"/>
      <c r="B14" s="4"/>
      <c r="C14" s="4"/>
    </row>
    <row r="15" spans="1:3">
      <c r="A15" s="3" t="s">
        <v>8</v>
      </c>
      <c r="B15" s="5">
        <f>SUM(B9:B14)</f>
        <v>21.21</v>
      </c>
      <c r="C15" s="5">
        <f>SUM(C9:C14)</f>
        <v>23.21</v>
      </c>
    </row>
    <row r="16" spans="1:3">
      <c r="A16" s="2"/>
      <c r="B16" s="4"/>
      <c r="C16" s="4"/>
    </row>
    <row r="17" spans="1:3">
      <c r="A17" s="2" t="s">
        <v>9</v>
      </c>
      <c r="B17" s="4">
        <v>9.91</v>
      </c>
      <c r="C17" s="4">
        <v>5.7</v>
      </c>
    </row>
    <row r="18" spans="1:3">
      <c r="A18" s="2"/>
      <c r="B18" s="4"/>
      <c r="C18" s="4"/>
    </row>
    <row r="19" spans="1:3">
      <c r="A19" s="3" t="s">
        <v>10</v>
      </c>
      <c r="B19" s="5">
        <f>SUM(B15:B17)</f>
        <v>31.12</v>
      </c>
      <c r="C19" s="5">
        <f>SUM(C15:C17)</f>
        <v>28.91</v>
      </c>
    </row>
    <row r="20" spans="1:3">
      <c r="A20" s="2"/>
      <c r="B20" s="4"/>
      <c r="C20" s="4"/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B23" s="6"/>
      <c r="C23" s="6"/>
    </row>
    <row r="24" spans="1:3">
      <c r="A24" s="2" t="s">
        <v>12</v>
      </c>
      <c r="B24" s="9">
        <v>248.01</v>
      </c>
      <c r="C24" s="8" t="s">
        <v>13</v>
      </c>
    </row>
    <row r="25" spans="1:3">
      <c r="A25" s="2"/>
      <c r="B25" s="4"/>
      <c r="C25" s="6"/>
    </row>
    <row r="26" spans="1:3" ht="13.9" thickBot="1">
      <c r="A26" s="2" t="s">
        <v>14</v>
      </c>
      <c r="B26" s="7">
        <f>B24*1.2121</f>
        <v>300.61292099999997</v>
      </c>
      <c r="C26" s="7">
        <f>B26/7.25</f>
        <v>41.46385117241379</v>
      </c>
    </row>
    <row r="27" spans="1:3" ht="13.9" thickTop="1">
      <c r="A27" s="2"/>
      <c r="B27" s="4"/>
      <c r="C27" s="6"/>
    </row>
    <row r="28" spans="1:3" ht="13.9" thickBot="1">
      <c r="A28" s="2" t="s">
        <v>15</v>
      </c>
      <c r="B28" s="7">
        <f>B24*1.3112</f>
        <v>325.19071199999996</v>
      </c>
      <c r="C28" s="7">
        <f>B28/7.25</f>
        <v>44.853891310344821</v>
      </c>
    </row>
    <row r="29" spans="1:3" ht="13.9" thickTop="1">
      <c r="A29" s="2"/>
      <c r="B29" s="4"/>
      <c r="C29" s="6"/>
    </row>
    <row r="30" spans="1:3">
      <c r="B30" s="6"/>
      <c r="C30" s="6"/>
    </row>
    <row r="31" spans="1:3">
      <c r="B31" s="6"/>
      <c r="C31" s="6"/>
    </row>
    <row r="32" spans="1:3">
      <c r="B32" s="6"/>
      <c r="C32" s="6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37"/>
  <sheetViews>
    <sheetView workbookViewId="0">
      <selection activeCell="B15" sqref="B15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6" ht="22.9">
      <c r="A1" s="77" t="s">
        <v>93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4.45">
      <c r="A2" s="32" t="s">
        <v>94</v>
      </c>
      <c r="E2" s="8"/>
      <c r="F2" s="115"/>
      <c r="G2" s="115"/>
      <c r="H2" s="115"/>
      <c r="I2" s="115"/>
      <c r="J2" s="115"/>
      <c r="K2" s="8"/>
      <c r="L2" s="33"/>
      <c r="M2" s="8"/>
    </row>
    <row r="3" spans="1:16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6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6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6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6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6">
      <c r="A8" s="43"/>
      <c r="B8" s="80" t="s">
        <v>80</v>
      </c>
      <c r="C8" s="43"/>
      <c r="D8" s="43"/>
      <c r="E8" s="44"/>
      <c r="F8" s="53">
        <v>3427.9</v>
      </c>
      <c r="G8" s="53"/>
      <c r="H8" s="53">
        <f>H10*H9</f>
        <v>577.82000000000005</v>
      </c>
      <c r="I8" s="53">
        <f>+I10*I9</f>
        <v>1194.05</v>
      </c>
      <c r="J8" s="53">
        <f>664.34*1.4</f>
        <v>930.07600000000002</v>
      </c>
      <c r="K8" s="53" t="s">
        <v>69</v>
      </c>
      <c r="L8" s="53"/>
      <c r="M8" s="49"/>
    </row>
    <row r="9" spans="1:16">
      <c r="A9" s="45"/>
      <c r="B9" s="81" t="s">
        <v>81</v>
      </c>
      <c r="C9" s="45"/>
      <c r="D9" s="45"/>
      <c r="E9" s="44"/>
      <c r="F9" s="54">
        <v>5.8999999999999997E-2</v>
      </c>
      <c r="G9" s="55">
        <v>4.2599999999999999E-2</v>
      </c>
      <c r="H9" s="54">
        <v>6.9199999999999999E-3</v>
      </c>
      <c r="I9" s="54">
        <v>1.43E-2</v>
      </c>
      <c r="J9" s="54">
        <f>1.18*1.4%</f>
        <v>1.6519999999999996E-2</v>
      </c>
      <c r="K9" s="55">
        <v>0.02</v>
      </c>
      <c r="L9" s="55">
        <v>2.2499999999999999E-2</v>
      </c>
      <c r="M9" s="49"/>
    </row>
    <row r="10" spans="1:16">
      <c r="A10" s="46"/>
      <c r="B10" s="79" t="s">
        <v>82</v>
      </c>
      <c r="C10" s="46"/>
      <c r="D10" s="46"/>
      <c r="E10" s="47"/>
      <c r="F10" s="56">
        <v>61600</v>
      </c>
      <c r="G10" s="57"/>
      <c r="H10" s="56">
        <v>83500</v>
      </c>
      <c r="I10" s="56">
        <v>83500</v>
      </c>
      <c r="J10" s="56">
        <v>56300</v>
      </c>
      <c r="K10" s="47"/>
      <c r="L10" s="58"/>
      <c r="M10" s="50"/>
    </row>
    <row r="11" spans="1:16">
      <c r="A11" s="73"/>
      <c r="B11" s="78">
        <v>32.15</v>
      </c>
      <c r="C11" s="74">
        <v>35</v>
      </c>
      <c r="D11" s="75">
        <v>52</v>
      </c>
      <c r="E11" s="109">
        <f t="shared" ref="E11:E14" si="0">B11*C11*D11</f>
        <v>58513</v>
      </c>
      <c r="F11" s="109">
        <f>IF($E11*$F$9&lt;$F$8,($E11-3500)*$F$9,$F$8)</f>
        <v>3427.9</v>
      </c>
      <c r="G11" s="109">
        <f>$E11*$G$9</f>
        <v>2492.6538</v>
      </c>
      <c r="H11" s="109">
        <f>IF($E11*$H$9&lt;$H$8,$E11*$H$9,$H$8)</f>
        <v>404.90996000000001</v>
      </c>
      <c r="I11" s="109">
        <f>IF($E11*$I$9&lt;$I$8,$E11*$I$9,$I$8)</f>
        <v>836.73590000000002</v>
      </c>
      <c r="J11" s="109">
        <f>IF($E11*$J$9&lt;$J$8,$E11*$J$9,$J$8)</f>
        <v>930.07600000000002</v>
      </c>
      <c r="K11" s="109">
        <f>$E11*$K$9</f>
        <v>1170.26</v>
      </c>
      <c r="L11" s="109">
        <f>$E11*$L$9</f>
        <v>1316.5425</v>
      </c>
      <c r="M11" s="109">
        <f>SUM(E11:L11)</f>
        <v>69092.07815999999</v>
      </c>
      <c r="N11" s="71">
        <f>(+M11-E11)/E11</f>
        <v>0.18079876540255996</v>
      </c>
      <c r="O11" s="85"/>
      <c r="P11" s="85"/>
    </row>
    <row r="12" spans="1:16">
      <c r="A12" s="73"/>
      <c r="B12" s="78">
        <v>25</v>
      </c>
      <c r="C12" s="74">
        <v>35</v>
      </c>
      <c r="D12" s="75">
        <v>52</v>
      </c>
      <c r="E12" s="109">
        <f t="shared" si="0"/>
        <v>45500</v>
      </c>
      <c r="F12" s="109">
        <f t="shared" ref="F12:F13" si="1">IF($E12*$F$9&lt;$F$8,($E12-3500)*$F$9,$F$8)</f>
        <v>2478</v>
      </c>
      <c r="G12" s="109">
        <f>$E12*$G$9</f>
        <v>1938.3</v>
      </c>
      <c r="H12" s="109">
        <f>IF($E12*$H$9&lt;$H$8,$E12*$H$9,$H$8)</f>
        <v>314.86</v>
      </c>
      <c r="I12" s="109">
        <f>IF($E12*$I$9&lt;$I$8,$E12*$I$9,$I$8)</f>
        <v>650.65</v>
      </c>
      <c r="J12" s="109">
        <f>IF($E12*$J$9&lt;$J$8,$E12*$J$9,$J$8)</f>
        <v>751.65999999999985</v>
      </c>
      <c r="K12" s="109">
        <f>$E12*$K$9</f>
        <v>910</v>
      </c>
      <c r="L12" s="109">
        <f>$E12*$L$9</f>
        <v>1023.75</v>
      </c>
      <c r="M12" s="109">
        <f t="shared" ref="M12:M14" si="2">SUM(E12:L12)</f>
        <v>53567.22</v>
      </c>
      <c r="N12" s="64">
        <f t="shared" ref="N12:N14" si="3">(+M12-E12)/E12</f>
        <v>0.17730153846153848</v>
      </c>
      <c r="O12" s="85"/>
      <c r="P12" s="85"/>
    </row>
    <row r="13" spans="1:16">
      <c r="A13" s="73"/>
      <c r="B13" s="78">
        <v>18</v>
      </c>
      <c r="C13" s="74">
        <v>35</v>
      </c>
      <c r="D13" s="75">
        <v>52</v>
      </c>
      <c r="E13" s="109">
        <f t="shared" si="0"/>
        <v>32760</v>
      </c>
      <c r="F13" s="109">
        <f t="shared" si="1"/>
        <v>1726.34</v>
      </c>
      <c r="G13" s="109">
        <f>$E13*$G$9</f>
        <v>1395.576</v>
      </c>
      <c r="H13" s="109">
        <f>IF($E13*$H$9&lt;$H$8,$E13*$H$9,$H$8)</f>
        <v>226.69919999999999</v>
      </c>
      <c r="I13" s="109">
        <f>IF($E13*$I$9&lt;$I$8,$E13*$I$9,$I$8)</f>
        <v>468.46800000000002</v>
      </c>
      <c r="J13" s="109">
        <f>IF($E13*$J$9&lt;$J$8,$E13*$J$9,$J$8)</f>
        <v>541.19519999999989</v>
      </c>
      <c r="K13" s="109">
        <f>$E13*$K$9</f>
        <v>655.20000000000005</v>
      </c>
      <c r="L13" s="109">
        <f>$E13*$L$9</f>
        <v>737.1</v>
      </c>
      <c r="M13" s="109">
        <f t="shared" si="2"/>
        <v>38510.578399999999</v>
      </c>
      <c r="N13" s="64">
        <f t="shared" si="3"/>
        <v>0.17553658119658114</v>
      </c>
    </row>
    <row r="14" spans="1:16">
      <c r="A14" s="73"/>
      <c r="B14" s="78">
        <v>45</v>
      </c>
      <c r="C14" s="74">
        <v>35</v>
      </c>
      <c r="D14" s="75">
        <v>52</v>
      </c>
      <c r="E14" s="109">
        <f t="shared" si="0"/>
        <v>81900</v>
      </c>
      <c r="F14" s="109">
        <f>IF($E14*$F$9&lt;$F$8,($E14-3500)*$F$9,$F$8)</f>
        <v>3427.9</v>
      </c>
      <c r="G14" s="109">
        <f>$E14*$G$9</f>
        <v>3488.94</v>
      </c>
      <c r="H14" s="109">
        <f>IF($E14*$H$9&lt;$H$8,$E14*$H$9,$H$8)</f>
        <v>566.74800000000005</v>
      </c>
      <c r="I14" s="109">
        <f>IF($E14*$I$9&lt;$I$8,$E14*$I$9,$I$8)</f>
        <v>1171.17</v>
      </c>
      <c r="J14" s="109">
        <f>IF($E14*$J$9&lt;$J$8,$E14*$J$9,$J$8)</f>
        <v>930.07600000000002</v>
      </c>
      <c r="K14" s="109">
        <f>$E14*$K$9</f>
        <v>1638</v>
      </c>
      <c r="L14" s="109">
        <f>$E14*$L$9</f>
        <v>1842.75</v>
      </c>
      <c r="M14" s="109">
        <f t="shared" si="2"/>
        <v>94965.584000000003</v>
      </c>
      <c r="N14" s="64">
        <f t="shared" si="3"/>
        <v>0.15953094017094019</v>
      </c>
    </row>
    <row r="15" spans="1:16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6" ht="13.9" thickBot="1">
      <c r="B16" s="35" t="s">
        <v>70</v>
      </c>
      <c r="C16" s="35"/>
      <c r="D16" s="35"/>
      <c r="E16" s="36">
        <f t="shared" ref="E16:M16" si="4">SUM(E11:E14)</f>
        <v>218673</v>
      </c>
      <c r="F16" s="36">
        <f t="shared" si="4"/>
        <v>11060.14</v>
      </c>
      <c r="G16" s="36">
        <f t="shared" si="4"/>
        <v>9315.4698000000008</v>
      </c>
      <c r="H16" s="36">
        <f t="shared" si="4"/>
        <v>1513.2171600000001</v>
      </c>
      <c r="I16" s="36">
        <f t="shared" si="4"/>
        <v>3127.0239000000001</v>
      </c>
      <c r="J16" s="36">
        <f t="shared" si="4"/>
        <v>3153.0072</v>
      </c>
      <c r="K16" s="36">
        <f t="shared" si="4"/>
        <v>4373.46</v>
      </c>
      <c r="L16" s="36">
        <f t="shared" si="4"/>
        <v>4920.1424999999999</v>
      </c>
      <c r="M16" s="36">
        <f t="shared" si="4"/>
        <v>256135.46056000001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89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3427.9</v>
      </c>
      <c r="G24" s="53"/>
      <c r="H24" s="53">
        <f t="shared" si="5"/>
        <v>577.82000000000005</v>
      </c>
      <c r="I24" s="53">
        <f t="shared" si="5"/>
        <v>1194.05</v>
      </c>
      <c r="J24" s="53">
        <f>J8</f>
        <v>930.07600000000002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5.8999999999999997E-2</v>
      </c>
      <c r="G25" s="54">
        <f>G9</f>
        <v>4.2599999999999999E-2</v>
      </c>
      <c r="H25" s="54">
        <f t="shared" si="5"/>
        <v>6.9199999999999999E-3</v>
      </c>
      <c r="I25" s="54">
        <f t="shared" si="5"/>
        <v>1.43E-2</v>
      </c>
      <c r="J25" s="54">
        <f>J9</f>
        <v>1.6519999999999996E-2</v>
      </c>
      <c r="K25" s="55">
        <v>0.04</v>
      </c>
      <c r="L25" s="55">
        <f>L9</f>
        <v>2.2499999999999999E-2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61600</v>
      </c>
      <c r="G26" s="56"/>
      <c r="H26" s="56">
        <f t="shared" si="5"/>
        <v>83500</v>
      </c>
      <c r="I26" s="56">
        <f t="shared" si="5"/>
        <v>83500</v>
      </c>
      <c r="J26" s="56">
        <f>J10</f>
        <v>56300</v>
      </c>
      <c r="K26" s="47"/>
      <c r="L26" s="58"/>
      <c r="M26" s="58"/>
      <c r="N26" s="58"/>
      <c r="O26" s="50"/>
    </row>
    <row r="27" spans="1:16">
      <c r="A27" s="73"/>
      <c r="B27" s="78">
        <v>0</v>
      </c>
      <c r="C27" s="74">
        <v>35</v>
      </c>
      <c r="D27" s="75">
        <v>52</v>
      </c>
      <c r="E27" s="109">
        <f>B27*C27*D27</f>
        <v>0</v>
      </c>
      <c r="F27" s="109">
        <f>IF($E27*$F$25&lt;$F$24,($E27-3500)*$F$25,$F$24)</f>
        <v>-206.5</v>
      </c>
      <c r="G27" s="109">
        <f>$E27*$G$25</f>
        <v>0</v>
      </c>
      <c r="H27" s="109">
        <f>IF($E27*$H$25&lt;$H$24,$E27*$H$25,$H$24)</f>
        <v>0</v>
      </c>
      <c r="I27" s="109">
        <f>IF($E27*$I$25&lt;$I$24,$E27*$I$25,$I$24)</f>
        <v>0</v>
      </c>
      <c r="J27" s="109">
        <f>IF($E27*$J$25&lt;$J$24,$E27*$J$25,$J$24)</f>
        <v>0</v>
      </c>
      <c r="K27" s="109">
        <f>$E27*$K$25</f>
        <v>0</v>
      </c>
      <c r="L27" s="109">
        <f>$E27*$L$25</f>
        <v>0</v>
      </c>
      <c r="M27" s="109">
        <f t="shared" ref="M27:M32" si="6">$E27*$M$25</f>
        <v>0</v>
      </c>
      <c r="N27" s="109">
        <f t="shared" ref="N27:N32" si="7">$E27*$N$25</f>
        <v>0</v>
      </c>
      <c r="O27" s="109">
        <f>SUM(E27:N27)</f>
        <v>-206.5</v>
      </c>
      <c r="P27" s="72" t="e">
        <f>(+O27-E27)/E27</f>
        <v>#DIV/0!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-206.5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-206.5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-206.5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-206.5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-206.5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-206.5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-206.5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-206.5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-206.5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-206.5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0</v>
      </c>
      <c r="F34" s="36">
        <f t="shared" si="18"/>
        <v>-1239</v>
      </c>
      <c r="G34" s="36">
        <f t="shared" si="18"/>
        <v>0</v>
      </c>
      <c r="H34" s="36">
        <f t="shared" si="18"/>
        <v>0</v>
      </c>
      <c r="I34" s="36">
        <f t="shared" si="18"/>
        <v>0</v>
      </c>
      <c r="J34" s="36">
        <f t="shared" si="18"/>
        <v>0</v>
      </c>
      <c r="K34" s="36">
        <f t="shared" si="18"/>
        <v>0</v>
      </c>
      <c r="L34" s="36">
        <f t="shared" si="18"/>
        <v>0</v>
      </c>
      <c r="M34" s="36">
        <f t="shared" si="18"/>
        <v>0</v>
      </c>
      <c r="N34" s="36">
        <f t="shared" si="18"/>
        <v>0</v>
      </c>
      <c r="O34" s="36">
        <f t="shared" si="18"/>
        <v>-1239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37"/>
  <sheetViews>
    <sheetView workbookViewId="0">
      <selection activeCell="I8" sqref="I8:I9"/>
    </sheetView>
  </sheetViews>
  <sheetFormatPr defaultColWidth="11.42578125" defaultRowHeight="13.15"/>
  <cols>
    <col min="1" max="1" width="34.42578125" customWidth="1"/>
    <col min="5" max="5" width="12.5703125" customWidth="1"/>
    <col min="13" max="13" width="12.28515625" bestFit="1" customWidth="1"/>
    <col min="15" max="15" width="12.7109375" customWidth="1"/>
  </cols>
  <sheetData>
    <row r="1" spans="1:16" ht="22.9">
      <c r="A1" s="77" t="s">
        <v>95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4.45">
      <c r="A2" s="32" t="s">
        <v>96</v>
      </c>
      <c r="E2" s="8"/>
      <c r="F2" s="115"/>
      <c r="G2" s="115"/>
      <c r="H2" s="115"/>
      <c r="I2" s="115"/>
      <c r="J2" s="115"/>
      <c r="K2" s="8"/>
      <c r="L2" s="33"/>
      <c r="M2" s="8"/>
    </row>
    <row r="3" spans="1:16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6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6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6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6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6">
      <c r="A8" s="43"/>
      <c r="B8" s="80" t="s">
        <v>80</v>
      </c>
      <c r="C8" s="43"/>
      <c r="D8" s="43"/>
      <c r="E8" s="44"/>
      <c r="F8" s="86">
        <v>3776.1</v>
      </c>
      <c r="G8" s="86"/>
      <c r="H8" s="86">
        <f>H10*H9</f>
        <v>608.96</v>
      </c>
      <c r="I8" s="86">
        <f>+I10*I9</f>
        <v>1364</v>
      </c>
      <c r="J8" s="86">
        <f>723.6*1.4</f>
        <v>1013.04</v>
      </c>
      <c r="K8" s="53" t="s">
        <v>69</v>
      </c>
      <c r="L8" s="53"/>
      <c r="M8" s="49"/>
    </row>
    <row r="9" spans="1:16">
      <c r="A9" s="45"/>
      <c r="B9" s="81" t="s">
        <v>81</v>
      </c>
      <c r="C9" s="45"/>
      <c r="D9" s="45"/>
      <c r="E9" s="44"/>
      <c r="F9" s="87">
        <v>6.1499999999999999E-2</v>
      </c>
      <c r="G9" s="89">
        <v>4.2599999999999999E-2</v>
      </c>
      <c r="H9" s="87">
        <v>6.9199999999999999E-3</v>
      </c>
      <c r="I9" s="87">
        <v>1.55E-2</v>
      </c>
      <c r="J9" s="87">
        <f>1.2*1.4%</f>
        <v>1.6799999999999999E-2</v>
      </c>
      <c r="K9" s="55">
        <v>0.02</v>
      </c>
      <c r="L9" s="55">
        <v>2.2499999999999999E-2</v>
      </c>
      <c r="M9" s="49"/>
    </row>
    <row r="10" spans="1:16">
      <c r="A10" s="46"/>
      <c r="B10" s="79" t="s">
        <v>82</v>
      </c>
      <c r="C10" s="46"/>
      <c r="D10" s="46"/>
      <c r="E10" s="47"/>
      <c r="F10" s="88">
        <v>64900</v>
      </c>
      <c r="G10" s="90"/>
      <c r="H10" s="88">
        <v>88000</v>
      </c>
      <c r="I10" s="88">
        <v>88000</v>
      </c>
      <c r="J10" s="88">
        <v>60300</v>
      </c>
      <c r="K10" s="47"/>
      <c r="L10" s="58"/>
      <c r="M10" s="50"/>
    </row>
    <row r="11" spans="1:16">
      <c r="A11" s="73"/>
      <c r="B11" s="78">
        <v>32.15</v>
      </c>
      <c r="C11" s="74">
        <v>35</v>
      </c>
      <c r="D11" s="75">
        <v>52</v>
      </c>
      <c r="E11" s="109">
        <f t="shared" ref="E11:E14" si="0">B11*C11*D11</f>
        <v>58513</v>
      </c>
      <c r="F11" s="109">
        <f>IF($E11*$F$9&lt;$F$8,($E11-3500)*$F$9,$F$8)</f>
        <v>3383.2995000000001</v>
      </c>
      <c r="G11" s="109">
        <f>$E11*$G$9</f>
        <v>2492.6538</v>
      </c>
      <c r="H11" s="109">
        <f>IF($E11*$H$9&lt;$H$8,$E11*$H$9,$H$8)</f>
        <v>404.90996000000001</v>
      </c>
      <c r="I11" s="109">
        <f>IF($E11*$I$9&lt;$I$8,$E11*$I$9,$I$8)</f>
        <v>906.95150000000001</v>
      </c>
      <c r="J11" s="109">
        <f>IF($E11*$J$9&lt;$J$8,$E11*$J$9,$J$8)</f>
        <v>983.01839999999993</v>
      </c>
      <c r="K11" s="109">
        <f>$E11*$K$9</f>
        <v>1170.26</v>
      </c>
      <c r="L11" s="109">
        <f>$E11*$L$9</f>
        <v>1316.5425</v>
      </c>
      <c r="M11" s="109">
        <f>SUM(E11:L11)</f>
        <v>69170.635659999985</v>
      </c>
      <c r="N11" s="71">
        <f>(+M11-E11)/E11</f>
        <v>0.18214133030266752</v>
      </c>
      <c r="O11" s="85"/>
      <c r="P11" s="85"/>
    </row>
    <row r="12" spans="1:16">
      <c r="A12" s="73"/>
      <c r="B12" s="78">
        <v>25</v>
      </c>
      <c r="C12" s="74">
        <v>35</v>
      </c>
      <c r="D12" s="75">
        <v>52</v>
      </c>
      <c r="E12" s="109">
        <f t="shared" si="0"/>
        <v>45500</v>
      </c>
      <c r="F12" s="109">
        <f t="shared" ref="F12:F13" si="1">IF($E12*$F$9&lt;$F$8,($E12-3500)*$F$9,$F$8)</f>
        <v>2583</v>
      </c>
      <c r="G12" s="109">
        <f>$E12*$G$9</f>
        <v>1938.3</v>
      </c>
      <c r="H12" s="109">
        <f>IF($E12*$H$9&lt;$H$8,$E12*$H$9,$H$8)</f>
        <v>314.86</v>
      </c>
      <c r="I12" s="109">
        <f>IF($E12*$I$9&lt;$I$8,$E12*$I$9,$I$8)</f>
        <v>705.25</v>
      </c>
      <c r="J12" s="109">
        <f>IF($E12*$J$9&lt;$J$8,$E12*$J$9,$J$8)</f>
        <v>764.4</v>
      </c>
      <c r="K12" s="109">
        <f>$E12*$K$9</f>
        <v>910</v>
      </c>
      <c r="L12" s="109">
        <f>$E12*$L$9</f>
        <v>1023.75</v>
      </c>
      <c r="M12" s="109">
        <f t="shared" ref="M12:M14" si="2">SUM(E12:L12)</f>
        <v>53739.560000000005</v>
      </c>
      <c r="N12" s="64">
        <f t="shared" ref="N12:N14" si="3">(+M12-E12)/E12</f>
        <v>0.18108923076923089</v>
      </c>
      <c r="O12" s="85"/>
      <c r="P12" s="85"/>
    </row>
    <row r="13" spans="1:16">
      <c r="A13" s="73"/>
      <c r="B13" s="78">
        <v>18</v>
      </c>
      <c r="C13" s="74">
        <v>35</v>
      </c>
      <c r="D13" s="75">
        <v>52</v>
      </c>
      <c r="E13" s="109">
        <f t="shared" si="0"/>
        <v>32760</v>
      </c>
      <c r="F13" s="109">
        <f t="shared" si="1"/>
        <v>1799.49</v>
      </c>
      <c r="G13" s="109">
        <f>$E13*$G$9</f>
        <v>1395.576</v>
      </c>
      <c r="H13" s="109">
        <f>IF($E13*$H$9&lt;$H$8,$E13*$H$9,$H$8)</f>
        <v>226.69919999999999</v>
      </c>
      <c r="I13" s="109">
        <f>IF($E13*$I$9&lt;$I$8,$E13*$I$9,$I$8)</f>
        <v>507.78</v>
      </c>
      <c r="J13" s="109">
        <f>IF($E13*$J$9&lt;$J$8,$E13*$J$9,$J$8)</f>
        <v>550.36799999999994</v>
      </c>
      <c r="K13" s="109">
        <f>$E13*$K$9</f>
        <v>655.20000000000005</v>
      </c>
      <c r="L13" s="109">
        <f>$E13*$L$9</f>
        <v>737.1</v>
      </c>
      <c r="M13" s="109">
        <f t="shared" si="2"/>
        <v>38632.213199999998</v>
      </c>
      <c r="N13" s="64">
        <f t="shared" si="3"/>
        <v>0.17924948717948713</v>
      </c>
    </row>
    <row r="14" spans="1:16">
      <c r="A14" s="73"/>
      <c r="B14" s="78">
        <v>45</v>
      </c>
      <c r="C14" s="74">
        <v>35</v>
      </c>
      <c r="D14" s="75">
        <v>52</v>
      </c>
      <c r="E14" s="109">
        <f t="shared" si="0"/>
        <v>81900</v>
      </c>
      <c r="F14" s="109">
        <f>IF($E14*$F$9&lt;$F$8,($E14-3500)*$F$9,$F$8)</f>
        <v>3776.1</v>
      </c>
      <c r="G14" s="109">
        <f>$E14*$G$9</f>
        <v>3488.94</v>
      </c>
      <c r="H14" s="109">
        <f>IF($E14*$H$9&lt;$H$8,$E14*$H$9,$H$8)</f>
        <v>566.74800000000005</v>
      </c>
      <c r="I14" s="109">
        <f>IF($E14*$I$9&lt;$I$8,$E14*$I$9,$I$8)</f>
        <v>1269.45</v>
      </c>
      <c r="J14" s="109">
        <f>IF($E14*$J$9&lt;$J$8,$E14*$J$9,$J$8)</f>
        <v>1013.04</v>
      </c>
      <c r="K14" s="109">
        <f>$E14*$K$9</f>
        <v>1638</v>
      </c>
      <c r="L14" s="109">
        <f>$E14*$L$9</f>
        <v>1842.75</v>
      </c>
      <c r="M14" s="109">
        <f t="shared" si="2"/>
        <v>95495.028000000006</v>
      </c>
      <c r="N14" s="64">
        <f t="shared" si="3"/>
        <v>0.16599545787545794</v>
      </c>
    </row>
    <row r="15" spans="1:16">
      <c r="B15" s="26"/>
      <c r="C15" s="26"/>
      <c r="D15" s="26"/>
      <c r="E15" s="115"/>
      <c r="F15" s="115"/>
      <c r="G15" s="115"/>
      <c r="H15" s="115"/>
      <c r="I15" s="115"/>
      <c r="J15" s="115"/>
      <c r="K15" s="115"/>
      <c r="L15" s="115"/>
      <c r="M15" s="115"/>
    </row>
    <row r="16" spans="1:16" ht="13.9" thickBot="1">
      <c r="B16" s="35" t="s">
        <v>70</v>
      </c>
      <c r="C16" s="35"/>
      <c r="D16" s="35"/>
      <c r="E16" s="36">
        <f t="shared" ref="E16:M16" si="4">SUM(E11:E14)</f>
        <v>218673</v>
      </c>
      <c r="F16" s="36">
        <f t="shared" si="4"/>
        <v>11541.889499999999</v>
      </c>
      <c r="G16" s="36">
        <f t="shared" si="4"/>
        <v>9315.4698000000008</v>
      </c>
      <c r="H16" s="36">
        <f t="shared" si="4"/>
        <v>1513.2171600000001</v>
      </c>
      <c r="I16" s="36">
        <f t="shared" si="4"/>
        <v>3389.4314999999997</v>
      </c>
      <c r="J16" s="36">
        <f t="shared" si="4"/>
        <v>3310.8263999999999</v>
      </c>
      <c r="K16" s="36">
        <f t="shared" si="4"/>
        <v>4373.46</v>
      </c>
      <c r="L16" s="36">
        <f t="shared" si="4"/>
        <v>4920.1424999999999</v>
      </c>
      <c r="M16" s="36">
        <f t="shared" si="4"/>
        <v>257037.43686000002</v>
      </c>
    </row>
    <row r="17" spans="1:16" ht="13.9" thickTop="1"/>
    <row r="18" spans="1:16">
      <c r="B18" s="26" t="s">
        <v>71</v>
      </c>
      <c r="C18" s="26"/>
      <c r="D18" s="26"/>
    </row>
    <row r="20" spans="1:16" ht="17.45">
      <c r="A20" s="76" t="s">
        <v>72</v>
      </c>
      <c r="E20" s="8"/>
      <c r="F20" s="115"/>
      <c r="G20" s="115"/>
      <c r="H20" s="115"/>
      <c r="I20" s="115"/>
      <c r="J20" s="115"/>
      <c r="K20" s="8"/>
      <c r="L20" s="33"/>
      <c r="M20" s="8"/>
    </row>
    <row r="21" spans="1:16" ht="14.45">
      <c r="B21" s="32"/>
      <c r="C21" s="32"/>
      <c r="D21" s="32"/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66">
      <c r="A22" s="60" t="s">
        <v>76</v>
      </c>
      <c r="B22" s="60" t="s">
        <v>77</v>
      </c>
      <c r="C22" s="60" t="s">
        <v>78</v>
      </c>
      <c r="D22" s="60" t="s">
        <v>79</v>
      </c>
      <c r="E22" s="61" t="s">
        <v>59</v>
      </c>
      <c r="F22" s="84" t="s">
        <v>85</v>
      </c>
      <c r="G22" s="62" t="s">
        <v>61</v>
      </c>
      <c r="H22" s="62" t="s">
        <v>20</v>
      </c>
      <c r="I22" s="62" t="s">
        <v>89</v>
      </c>
      <c r="J22" s="62" t="s">
        <v>62</v>
      </c>
      <c r="K22" s="61" t="s">
        <v>63</v>
      </c>
      <c r="L22" s="61" t="s">
        <v>64</v>
      </c>
      <c r="M22" s="61" t="s">
        <v>7</v>
      </c>
      <c r="N22" s="61" t="s">
        <v>73</v>
      </c>
      <c r="O22" s="63" t="s">
        <v>65</v>
      </c>
    </row>
    <row r="23" spans="1:16">
      <c r="A23" s="41"/>
      <c r="B23" s="41"/>
      <c r="C23" s="41"/>
      <c r="D23" s="41"/>
      <c r="E23" s="42"/>
      <c r="F23" s="51" t="s">
        <v>66</v>
      </c>
      <c r="G23" s="51" t="s">
        <v>67</v>
      </c>
      <c r="H23" s="51" t="s">
        <v>66</v>
      </c>
      <c r="I23" s="51" t="s">
        <v>66</v>
      </c>
      <c r="J23" s="51" t="s">
        <v>66</v>
      </c>
      <c r="K23" s="52" t="s">
        <v>68</v>
      </c>
      <c r="L23" s="42"/>
      <c r="M23" s="42"/>
      <c r="N23" s="42"/>
      <c r="O23" s="48"/>
    </row>
    <row r="24" spans="1:16">
      <c r="A24" s="43"/>
      <c r="B24" s="80" t="s">
        <v>80</v>
      </c>
      <c r="C24" s="43"/>
      <c r="D24" s="43"/>
      <c r="E24" s="44"/>
      <c r="F24" s="53">
        <f t="shared" ref="F24:I26" si="5">F8</f>
        <v>3776.1</v>
      </c>
      <c r="G24" s="53"/>
      <c r="H24" s="53">
        <f t="shared" si="5"/>
        <v>608.96</v>
      </c>
      <c r="I24" s="53">
        <f t="shared" si="5"/>
        <v>1364</v>
      </c>
      <c r="J24" s="53">
        <f>J8</f>
        <v>1013.04</v>
      </c>
      <c r="K24" s="53" t="s">
        <v>69</v>
      </c>
      <c r="L24" s="53"/>
      <c r="M24" s="53"/>
      <c r="N24" s="53"/>
      <c r="O24" s="49"/>
    </row>
    <row r="25" spans="1:16">
      <c r="A25" s="45"/>
      <c r="B25" s="81" t="s">
        <v>81</v>
      </c>
      <c r="C25" s="45"/>
      <c r="D25" s="45"/>
      <c r="E25" s="44"/>
      <c r="F25" s="54">
        <f t="shared" si="5"/>
        <v>6.1499999999999999E-2</v>
      </c>
      <c r="G25" s="54">
        <f>G9</f>
        <v>4.2599999999999999E-2</v>
      </c>
      <c r="H25" s="54">
        <f t="shared" si="5"/>
        <v>6.9199999999999999E-3</v>
      </c>
      <c r="I25" s="54">
        <f t="shared" si="5"/>
        <v>1.55E-2</v>
      </c>
      <c r="J25" s="54">
        <f>J9</f>
        <v>1.6799999999999999E-2</v>
      </c>
      <c r="K25" s="55">
        <v>0.04</v>
      </c>
      <c r="L25" s="55">
        <f>L9</f>
        <v>2.2499999999999999E-2</v>
      </c>
      <c r="M25" s="55">
        <v>0.08</v>
      </c>
      <c r="N25" s="55">
        <v>5.91E-2</v>
      </c>
      <c r="O25" s="49"/>
    </row>
    <row r="26" spans="1:16">
      <c r="A26" s="46"/>
      <c r="B26" s="79" t="s">
        <v>82</v>
      </c>
      <c r="C26" s="46"/>
      <c r="D26" s="46"/>
      <c r="E26" s="47"/>
      <c r="F26" s="56">
        <f t="shared" si="5"/>
        <v>64900</v>
      </c>
      <c r="G26" s="56"/>
      <c r="H26" s="56">
        <f t="shared" si="5"/>
        <v>88000</v>
      </c>
      <c r="I26" s="56">
        <f t="shared" si="5"/>
        <v>88000</v>
      </c>
      <c r="J26" s="56">
        <f>J10</f>
        <v>60300</v>
      </c>
      <c r="K26" s="47"/>
      <c r="L26" s="58"/>
      <c r="M26" s="58"/>
      <c r="N26" s="58"/>
      <c r="O26" s="50"/>
    </row>
    <row r="27" spans="1:16">
      <c r="A27" s="73"/>
      <c r="B27" s="78">
        <v>0</v>
      </c>
      <c r="C27" s="74">
        <v>35</v>
      </c>
      <c r="D27" s="75">
        <v>52</v>
      </c>
      <c r="E27" s="109">
        <f>B27*C27*D27</f>
        <v>0</v>
      </c>
      <c r="F27" s="109">
        <f>IF($E27*$F$25&lt;$F$24,($E27-3500)*$F$25,$F$24)</f>
        <v>-215.25</v>
      </c>
      <c r="G27" s="109">
        <f>$E27*$G$25</f>
        <v>0</v>
      </c>
      <c r="H27" s="109">
        <f>IF($E27*$H$25&lt;$H$24,$E27*$H$25,$H$24)</f>
        <v>0</v>
      </c>
      <c r="I27" s="109">
        <f>IF($E27*$I$25&lt;$I$24,$E27*$I$25,$I$24)</f>
        <v>0</v>
      </c>
      <c r="J27" s="109">
        <f>IF($E27*$J$25&lt;$J$24,$E27*$J$25,$J$24)</f>
        <v>0</v>
      </c>
      <c r="K27" s="109">
        <f>$E27*$K$25</f>
        <v>0</v>
      </c>
      <c r="L27" s="109">
        <f>$E27*$L$25</f>
        <v>0</v>
      </c>
      <c r="M27" s="109">
        <f t="shared" ref="M27:M32" si="6">$E27*$M$25</f>
        <v>0</v>
      </c>
      <c r="N27" s="109">
        <f t="shared" ref="N27:N32" si="7">$E27*$N$25</f>
        <v>0</v>
      </c>
      <c r="O27" s="109">
        <f>SUM(E27:N27)</f>
        <v>-215.25</v>
      </c>
      <c r="P27" s="72" t="e">
        <f>(+O27-E27)/E27</f>
        <v>#DIV/0!</v>
      </c>
    </row>
    <row r="28" spans="1:16">
      <c r="A28" s="73"/>
      <c r="B28" s="78">
        <v>0</v>
      </c>
      <c r="C28" s="74">
        <v>35</v>
      </c>
      <c r="D28" s="75">
        <v>52</v>
      </c>
      <c r="E28" s="109">
        <f t="shared" ref="E28:E32" si="8">B28*C28*D28</f>
        <v>0</v>
      </c>
      <c r="F28" s="109">
        <f t="shared" ref="F28:F32" si="9">IF($E28*$F$25&lt;$F$24,($E28-3500)*$F$25,$F$24)</f>
        <v>-215.25</v>
      </c>
      <c r="G28" s="109">
        <f>$E28*$G$25</f>
        <v>0</v>
      </c>
      <c r="H28" s="109">
        <f>IF($E28*$H$25&lt;$H$24,$E28*$H$25,$H$24)</f>
        <v>0</v>
      </c>
      <c r="I28" s="109">
        <f>IF($E28*$I$25&lt;$I$24,$E28*$I$25,$I$24)</f>
        <v>0</v>
      </c>
      <c r="J28" s="109">
        <f>IF($E28*$J$25&lt;$J$24,$E28*$J$25,$J$24)</f>
        <v>0</v>
      </c>
      <c r="K28" s="109">
        <f>$E28*$K$25</f>
        <v>0</v>
      </c>
      <c r="L28" s="109">
        <f>$E28*$L$25</f>
        <v>0</v>
      </c>
      <c r="M28" s="109">
        <f t="shared" si="6"/>
        <v>0</v>
      </c>
      <c r="N28" s="109">
        <f t="shared" si="7"/>
        <v>0</v>
      </c>
      <c r="O28" s="109">
        <f>SUM(E28:N28)</f>
        <v>-215.25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si="8"/>
        <v>0</v>
      </c>
      <c r="F29" s="109">
        <f t="shared" si="9"/>
        <v>-215.25</v>
      </c>
      <c r="G29" s="109">
        <f>$E29*$G$25</f>
        <v>0</v>
      </c>
      <c r="H29" s="109">
        <f>IF($E29*$H$25&lt;$H$24,$E29*$H$25,$H$24)</f>
        <v>0</v>
      </c>
      <c r="I29" s="109">
        <f>IF($E29*$I$25&lt;$I$24,$E29*$I$25,$I$24)</f>
        <v>0</v>
      </c>
      <c r="J29" s="109">
        <f>IF($E29*$J$25&lt;$J$24,$E29*$J$25,$J$24)</f>
        <v>0</v>
      </c>
      <c r="K29" s="109">
        <f>$E29*$K$25</f>
        <v>0</v>
      </c>
      <c r="L29" s="109">
        <f>$E29*$L$25</f>
        <v>0</v>
      </c>
      <c r="M29" s="109">
        <f t="shared" si="6"/>
        <v>0</v>
      </c>
      <c r="N29" s="109">
        <f t="shared" si="7"/>
        <v>0</v>
      </c>
      <c r="O29" s="109">
        <f>SUM(E29:N29)</f>
        <v>-215.25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8"/>
        <v>0</v>
      </c>
      <c r="F30" s="109">
        <f t="shared" si="9"/>
        <v>-215.25</v>
      </c>
      <c r="G30" s="109">
        <f t="shared" ref="G30:G31" si="10">$E30*$G$25</f>
        <v>0</v>
      </c>
      <c r="H30" s="109">
        <f t="shared" ref="H30:H31" si="11">IF($E30*$H$25&lt;$H$24,$E30*$H$25,$H$24)</f>
        <v>0</v>
      </c>
      <c r="I30" s="109">
        <f t="shared" ref="I30:I31" si="12">IF($E30*$I$25&lt;$I$24,$E30*$I$25,$I$24)</f>
        <v>0</v>
      </c>
      <c r="J30" s="109">
        <f t="shared" ref="J30:J31" si="13">IF($E30*$J$25&lt;$J$24,$E30*$J$25,$J$24)</f>
        <v>0</v>
      </c>
      <c r="K30" s="109">
        <f t="shared" ref="K30:K31" si="14">$E30*$K$25</f>
        <v>0</v>
      </c>
      <c r="L30" s="109">
        <f t="shared" ref="L30:L31" si="15">$E30*$L$25</f>
        <v>0</v>
      </c>
      <c r="M30" s="109">
        <f t="shared" si="6"/>
        <v>0</v>
      </c>
      <c r="N30" s="109">
        <f t="shared" si="7"/>
        <v>0</v>
      </c>
      <c r="O30" s="109">
        <f t="shared" ref="O30:O32" si="16">SUM(E30:N30)</f>
        <v>-215.25</v>
      </c>
      <c r="P30" s="72" t="e">
        <f t="shared" ref="P30:P32" si="17"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8"/>
        <v>0</v>
      </c>
      <c r="F31" s="109">
        <f t="shared" si="9"/>
        <v>-215.25</v>
      </c>
      <c r="G31" s="109">
        <f t="shared" si="10"/>
        <v>0</v>
      </c>
      <c r="H31" s="109">
        <f t="shared" si="11"/>
        <v>0</v>
      </c>
      <c r="I31" s="109">
        <f t="shared" si="12"/>
        <v>0</v>
      </c>
      <c r="J31" s="109">
        <f t="shared" si="13"/>
        <v>0</v>
      </c>
      <c r="K31" s="109">
        <f t="shared" si="14"/>
        <v>0</v>
      </c>
      <c r="L31" s="109">
        <f t="shared" si="15"/>
        <v>0</v>
      </c>
      <c r="M31" s="109">
        <f t="shared" si="6"/>
        <v>0</v>
      </c>
      <c r="N31" s="109">
        <f t="shared" si="7"/>
        <v>0</v>
      </c>
      <c r="O31" s="109">
        <f t="shared" si="16"/>
        <v>-215.25</v>
      </c>
      <c r="P31" s="72" t="e">
        <f t="shared" si="17"/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8"/>
        <v>0</v>
      </c>
      <c r="F32" s="109">
        <f t="shared" si="9"/>
        <v>-215.25</v>
      </c>
      <c r="G32" s="109">
        <f>$E32*$G$25</f>
        <v>0</v>
      </c>
      <c r="H32" s="109">
        <f>IF($E32*$H$25&lt;$H$24,$E32*$H$25,$H$24)</f>
        <v>0</v>
      </c>
      <c r="I32" s="109">
        <f>IF($E32*$I$25&lt;$I$24,$E32*$I$25,$I$24)</f>
        <v>0</v>
      </c>
      <c r="J32" s="109">
        <f>IF($E32*$J$25&lt;$J$24,$E32*$J$25,$J$24)</f>
        <v>0</v>
      </c>
      <c r="K32" s="109">
        <f>$E32*$K$25</f>
        <v>0</v>
      </c>
      <c r="L32" s="109">
        <f>$E32*$L$25</f>
        <v>0</v>
      </c>
      <c r="M32" s="109">
        <f t="shared" si="6"/>
        <v>0</v>
      </c>
      <c r="N32" s="109">
        <f t="shared" si="7"/>
        <v>0</v>
      </c>
      <c r="O32" s="109">
        <f t="shared" si="16"/>
        <v>-215.25</v>
      </c>
      <c r="P32" s="72" t="e">
        <f t="shared" si="17"/>
        <v>#DIV/0!</v>
      </c>
    </row>
    <row r="33" spans="1:15">
      <c r="B33" s="26"/>
      <c r="C33" s="26"/>
      <c r="D33" s="26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ht="13.9" thickBot="1">
      <c r="B34" s="35" t="s">
        <v>70</v>
      </c>
      <c r="C34" s="35"/>
      <c r="D34" s="35"/>
      <c r="E34" s="36">
        <f t="shared" ref="E34:O34" si="18">SUM(E27:E32)</f>
        <v>0</v>
      </c>
      <c r="F34" s="36">
        <f t="shared" si="18"/>
        <v>-1291.5</v>
      </c>
      <c r="G34" s="36">
        <f t="shared" si="18"/>
        <v>0</v>
      </c>
      <c r="H34" s="36">
        <f t="shared" si="18"/>
        <v>0</v>
      </c>
      <c r="I34" s="36">
        <f t="shared" si="18"/>
        <v>0</v>
      </c>
      <c r="J34" s="36">
        <f t="shared" si="18"/>
        <v>0</v>
      </c>
      <c r="K34" s="36">
        <f t="shared" si="18"/>
        <v>0</v>
      </c>
      <c r="L34" s="36">
        <f t="shared" si="18"/>
        <v>0</v>
      </c>
      <c r="M34" s="36">
        <f t="shared" si="18"/>
        <v>0</v>
      </c>
      <c r="N34" s="36">
        <f t="shared" si="18"/>
        <v>0</v>
      </c>
      <c r="O34" s="36">
        <f t="shared" si="18"/>
        <v>-1291.5</v>
      </c>
    </row>
    <row r="35" spans="1:15" ht="13.9" thickTop="1"/>
    <row r="37" spans="1:15">
      <c r="A37" s="82" t="s">
        <v>86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38"/>
  <sheetViews>
    <sheetView workbookViewId="0">
      <selection activeCell="B13" sqref="B13"/>
    </sheetView>
  </sheetViews>
  <sheetFormatPr defaultColWidth="11.42578125" defaultRowHeight="13.15"/>
  <cols>
    <col min="1" max="1" width="34.42578125" customWidth="1"/>
    <col min="5" max="5" width="12.5703125" customWidth="1"/>
    <col min="6" max="12" width="11.42578125" customWidth="1"/>
    <col min="13" max="13" width="12.28515625" bestFit="1" customWidth="1"/>
    <col min="15" max="15" width="12.7109375" customWidth="1"/>
  </cols>
  <sheetData>
    <row r="1" spans="1:16" ht="22.9">
      <c r="A1" s="77" t="s">
        <v>97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4.45">
      <c r="A2" s="32" t="s">
        <v>98</v>
      </c>
      <c r="E2" s="8"/>
      <c r="F2" s="115"/>
      <c r="G2" s="115"/>
      <c r="H2" s="115"/>
      <c r="I2" s="115"/>
      <c r="J2" s="115"/>
      <c r="K2" s="8"/>
      <c r="L2" s="33"/>
      <c r="M2" s="8"/>
    </row>
    <row r="3" spans="1:16" ht="14.45">
      <c r="B3" s="32"/>
      <c r="C3" s="32"/>
      <c r="D3" s="32"/>
      <c r="E3" s="8"/>
      <c r="F3" s="115"/>
      <c r="G3" s="115"/>
      <c r="H3" s="115"/>
      <c r="I3" s="115"/>
      <c r="J3" s="115"/>
      <c r="K3" s="8"/>
      <c r="L3" s="33"/>
      <c r="M3" s="8"/>
    </row>
    <row r="4" spans="1:16" ht="17.45">
      <c r="A4" s="76" t="s">
        <v>57</v>
      </c>
      <c r="E4" s="8"/>
      <c r="F4" s="115"/>
      <c r="G4" s="115"/>
      <c r="H4" s="115"/>
      <c r="I4" s="115"/>
      <c r="J4" s="115"/>
      <c r="K4" s="8"/>
      <c r="L4" s="33"/>
      <c r="M4" s="8"/>
    </row>
    <row r="5" spans="1:16" ht="14.45">
      <c r="B5" s="32"/>
      <c r="C5" s="32"/>
      <c r="D5" s="32"/>
      <c r="E5" s="8"/>
      <c r="F5" s="115"/>
      <c r="G5" s="115"/>
      <c r="H5" s="115"/>
      <c r="I5" s="115"/>
      <c r="J5" s="115"/>
      <c r="K5" s="8"/>
      <c r="L5" s="33"/>
      <c r="M5" s="8"/>
    </row>
    <row r="6" spans="1:16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38" t="s">
        <v>61</v>
      </c>
      <c r="H6" s="38" t="s">
        <v>20</v>
      </c>
      <c r="I6" s="38" t="s">
        <v>89</v>
      </c>
      <c r="J6" s="38" t="s">
        <v>62</v>
      </c>
      <c r="K6" s="37" t="s">
        <v>63</v>
      </c>
      <c r="L6" s="37" t="s">
        <v>64</v>
      </c>
      <c r="M6" s="40" t="s">
        <v>65</v>
      </c>
    </row>
    <row r="7" spans="1:16">
      <c r="A7" s="41"/>
      <c r="B7" s="41"/>
      <c r="C7" s="41"/>
      <c r="D7" s="41"/>
      <c r="E7" s="42"/>
      <c r="F7" s="51" t="s">
        <v>66</v>
      </c>
      <c r="G7" s="51" t="s">
        <v>67</v>
      </c>
      <c r="H7" s="51" t="s">
        <v>66</v>
      </c>
      <c r="I7" s="51" t="s">
        <v>66</v>
      </c>
      <c r="J7" s="51" t="s">
        <v>66</v>
      </c>
      <c r="K7" s="52" t="s">
        <v>68</v>
      </c>
      <c r="L7" s="42"/>
      <c r="M7" s="48"/>
    </row>
    <row r="8" spans="1:16">
      <c r="A8" s="43"/>
      <c r="B8" s="80" t="s">
        <v>80</v>
      </c>
      <c r="C8" s="43"/>
      <c r="D8" s="43"/>
      <c r="E8" s="44"/>
      <c r="F8" s="91">
        <v>4038.4</v>
      </c>
      <c r="G8" s="91"/>
      <c r="H8" s="91">
        <f>H10*H9</f>
        <v>629.72</v>
      </c>
      <c r="I8" s="91">
        <f>+I10*I9</f>
        <v>1091.2</v>
      </c>
      <c r="J8" s="91">
        <f>781.05*1.4</f>
        <v>1093.4699999999998</v>
      </c>
      <c r="K8" s="53" t="s">
        <v>69</v>
      </c>
      <c r="L8" s="53"/>
      <c r="M8" s="49"/>
    </row>
    <row r="9" spans="1:16">
      <c r="A9" s="45"/>
      <c r="B9" s="81" t="s">
        <v>81</v>
      </c>
      <c r="C9" s="45"/>
      <c r="D9" s="45"/>
      <c r="E9" s="44"/>
      <c r="F9" s="94">
        <v>6.4000000000000001E-2</v>
      </c>
      <c r="G9" s="94">
        <v>4.2599999999999999E-2</v>
      </c>
      <c r="H9" s="92">
        <v>6.9199999999999999E-3</v>
      </c>
      <c r="I9" s="94">
        <v>1.24E-2</v>
      </c>
      <c r="J9" s="92">
        <f>1.27*1.4%</f>
        <v>1.7779999999999997E-2</v>
      </c>
      <c r="K9" s="55">
        <v>0.02</v>
      </c>
      <c r="L9" s="55">
        <v>2.2499999999999999E-2</v>
      </c>
      <c r="M9" s="49"/>
    </row>
    <row r="10" spans="1:16">
      <c r="A10" s="46"/>
      <c r="B10" s="79" t="s">
        <v>82</v>
      </c>
      <c r="C10" s="46"/>
      <c r="D10" s="46"/>
      <c r="E10" s="47"/>
      <c r="F10" s="93">
        <v>66600</v>
      </c>
      <c r="G10" s="95"/>
      <c r="H10" s="93">
        <v>91000</v>
      </c>
      <c r="I10" s="93">
        <v>88000</v>
      </c>
      <c r="J10" s="93">
        <v>61500</v>
      </c>
      <c r="K10" s="47"/>
      <c r="L10" s="58"/>
      <c r="M10" s="50"/>
    </row>
    <row r="11" spans="1:16">
      <c r="A11" s="73" t="s">
        <v>99</v>
      </c>
      <c r="B11" s="78">
        <v>47.98</v>
      </c>
      <c r="C11" s="74">
        <v>37.5</v>
      </c>
      <c r="D11" s="75">
        <v>26</v>
      </c>
      <c r="E11" s="109">
        <f t="shared" ref="E11:E15" si="0">B11*C11*D11</f>
        <v>46780.499999999993</v>
      </c>
      <c r="F11" s="109">
        <f>IF($E11*$F$9&lt;$F$8,($E11-3500)*$F$9,$F$8)</f>
        <v>2769.9519999999998</v>
      </c>
      <c r="G11" s="109">
        <f>$E11*$G$9</f>
        <v>1992.8492999999996</v>
      </c>
      <c r="H11" s="109">
        <f>IF($E11*$H$9&lt;$H$8,$E11*$H$9,$H$8)</f>
        <v>323.72105999999997</v>
      </c>
      <c r="I11" s="109">
        <f>IF($E11*$I$9&lt;$I$8,$E11*$I$9,$I$8)</f>
        <v>580.07819999999992</v>
      </c>
      <c r="J11" s="109">
        <f>IF($E11*$J$9&lt;$J$8,$E11*$J$9,$J$8)</f>
        <v>831.75728999999978</v>
      </c>
      <c r="K11" s="109">
        <f>$E11*$K$9</f>
        <v>935.6099999999999</v>
      </c>
      <c r="L11" s="109">
        <f>$E11*$L$9</f>
        <v>1052.5612499999997</v>
      </c>
      <c r="M11" s="109">
        <f>SUM(E11:L11)</f>
        <v>55267.029099999992</v>
      </c>
      <c r="N11" s="71">
        <f>(+M11-E11)/E11</f>
        <v>0.18141168008037539</v>
      </c>
      <c r="O11" s="85"/>
      <c r="P11" s="85"/>
    </row>
    <row r="12" spans="1:16">
      <c r="A12" s="73" t="s">
        <v>100</v>
      </c>
      <c r="B12" s="78">
        <v>47.98</v>
      </c>
      <c r="C12" s="74">
        <v>37.5</v>
      </c>
      <c r="D12" s="75">
        <v>52</v>
      </c>
      <c r="E12" s="109">
        <f t="shared" si="0"/>
        <v>93560.999999999985</v>
      </c>
      <c r="F12" s="109">
        <f t="shared" ref="F12:F14" si="1">IF($E12*$F$9&lt;$F$8,($E12-3500)*$F$9,$F$8)</f>
        <v>4038.4</v>
      </c>
      <c r="G12" s="109">
        <f>$E12*$G$9</f>
        <v>3985.6985999999993</v>
      </c>
      <c r="H12" s="109">
        <f>IF($E12*$H$9&lt;$H$8,$E12*$H$9,$H$8)</f>
        <v>629.72</v>
      </c>
      <c r="I12" s="109">
        <f>IF($E12*$I$9&lt;$I$8,$E12*$I$9,$I$8)</f>
        <v>1091.2</v>
      </c>
      <c r="J12" s="109">
        <f>IF($E12*$J$9&lt;$J$8,$E12*$J$9,$J$8)</f>
        <v>1093.4699999999998</v>
      </c>
      <c r="K12" s="109">
        <f>$E12*$K$9</f>
        <v>1871.2199999999998</v>
      </c>
      <c r="L12" s="109">
        <f>$E12*$L$9</f>
        <v>2105.1224999999995</v>
      </c>
      <c r="M12" s="109">
        <f t="shared" ref="M12:M15" si="2">SUM(E12:L12)</f>
        <v>108375.83109999998</v>
      </c>
      <c r="N12" s="64">
        <f t="shared" ref="N12:N15" si="3">(+M12-E12)/E12</f>
        <v>0.15834408674554568</v>
      </c>
      <c r="O12" s="85"/>
      <c r="P12" s="85"/>
    </row>
    <row r="13" spans="1:16">
      <c r="A13" s="73" t="s">
        <v>101</v>
      </c>
      <c r="B13" s="78">
        <v>47.98</v>
      </c>
      <c r="C13" s="74">
        <v>37.5</v>
      </c>
      <c r="D13" s="75">
        <v>52</v>
      </c>
      <c r="E13" s="109">
        <f t="shared" si="0"/>
        <v>93560.999999999985</v>
      </c>
      <c r="F13" s="109">
        <f t="shared" si="1"/>
        <v>4038.4</v>
      </c>
      <c r="G13" s="109">
        <f>$E13*$G$9</f>
        <v>3985.6985999999993</v>
      </c>
      <c r="H13" s="109">
        <f>IF($E13*$H$9&lt;$H$8,$E13*$H$9,$H$8)</f>
        <v>629.72</v>
      </c>
      <c r="I13" s="109">
        <f>IF($E13*$I$9&lt;$I$8,$E13*$I$9,$I$8)</f>
        <v>1091.2</v>
      </c>
      <c r="J13" s="109">
        <f>IF($E13*$J$9&lt;$J$8,$E13*$J$9,$J$8)</f>
        <v>1093.4699999999998</v>
      </c>
      <c r="K13" s="109">
        <f>$E13*$K$9</f>
        <v>1871.2199999999998</v>
      </c>
      <c r="L13" s="109">
        <f>$E13*$L$9</f>
        <v>2105.1224999999995</v>
      </c>
      <c r="M13" s="109">
        <f t="shared" si="2"/>
        <v>108375.83109999998</v>
      </c>
      <c r="N13" s="64">
        <f t="shared" si="3"/>
        <v>0.15834408674554568</v>
      </c>
    </row>
    <row r="14" spans="1:16">
      <c r="A14" s="73" t="s">
        <v>102</v>
      </c>
      <c r="B14" s="78">
        <v>38.39</v>
      </c>
      <c r="C14" s="74">
        <v>37.5</v>
      </c>
      <c r="D14" s="75">
        <v>52</v>
      </c>
      <c r="E14" s="109">
        <f t="shared" ref="E14" si="4">B14*C14*D14</f>
        <v>74860.5</v>
      </c>
      <c r="F14" s="109">
        <f t="shared" si="1"/>
        <v>4038.4</v>
      </c>
      <c r="G14" s="109">
        <f>$E14*$G$9</f>
        <v>3189.0572999999999</v>
      </c>
      <c r="H14" s="109">
        <f>IF($E14*$H$9&lt;$H$8,$E14*$H$9,$H$8)</f>
        <v>518.03466000000003</v>
      </c>
      <c r="I14" s="109">
        <f>IF($E14*$I$9&lt;$I$8,$E14*$I$9,$I$8)</f>
        <v>928.27019999999993</v>
      </c>
      <c r="J14" s="109">
        <f>IF($E14*$J$9&lt;$J$8,$E14*$J$9,$J$8)</f>
        <v>1093.4699999999998</v>
      </c>
      <c r="K14" s="109">
        <f>$E14*$K$9</f>
        <v>1497.21</v>
      </c>
      <c r="L14" s="109">
        <f>$E14*$L$9</f>
        <v>1684.3612499999999</v>
      </c>
      <c r="M14" s="109">
        <f t="shared" ref="M14" si="5">SUM(E14:L14)</f>
        <v>87809.303410000008</v>
      </c>
      <c r="N14" s="64">
        <f t="shared" ref="N14" si="6">(+M14-E14)/E14</f>
        <v>0.17297244087335789</v>
      </c>
    </row>
    <row r="15" spans="1:16">
      <c r="A15" s="73" t="s">
        <v>103</v>
      </c>
      <c r="B15" s="78">
        <v>47.98</v>
      </c>
      <c r="C15" s="74">
        <v>37.5</v>
      </c>
      <c r="D15" s="75">
        <v>52</v>
      </c>
      <c r="E15" s="109">
        <f t="shared" si="0"/>
        <v>93560.999999999985</v>
      </c>
      <c r="F15" s="109">
        <f>IF($E15*$F$9&lt;$F$8,($E15-3500)*$F$9,$F$8)</f>
        <v>4038.4</v>
      </c>
      <c r="G15" s="109">
        <f>$E15*$G$9</f>
        <v>3985.6985999999993</v>
      </c>
      <c r="H15" s="109">
        <f>IF($E15*$H$9&lt;$H$8,$E15*$H$9,$H$8)</f>
        <v>629.72</v>
      </c>
      <c r="I15" s="109">
        <f>IF($E15*$I$9&lt;$I$8,$E15*$I$9,$I$8)</f>
        <v>1091.2</v>
      </c>
      <c r="J15" s="109">
        <f>IF($E15*$J$9&lt;$J$8,$E15*$J$9,$J$8)</f>
        <v>1093.4699999999998</v>
      </c>
      <c r="K15" s="109">
        <f>$E15*$K$9</f>
        <v>1871.2199999999998</v>
      </c>
      <c r="L15" s="109">
        <f>$E15*$L$9</f>
        <v>2105.1224999999995</v>
      </c>
      <c r="M15" s="109">
        <f t="shared" si="2"/>
        <v>108375.83109999998</v>
      </c>
      <c r="N15" s="64">
        <f t="shared" si="3"/>
        <v>0.15834408674554568</v>
      </c>
    </row>
    <row r="16" spans="1:16">
      <c r="B16" s="26"/>
      <c r="C16" s="26"/>
      <c r="D16" s="26"/>
      <c r="E16" s="115"/>
      <c r="F16" s="115"/>
      <c r="G16" s="115"/>
      <c r="H16" s="115"/>
      <c r="I16" s="115"/>
      <c r="J16" s="115"/>
      <c r="K16" s="115"/>
      <c r="L16" s="115"/>
      <c r="M16" s="115"/>
    </row>
    <row r="17" spans="1:16" ht="13.9" thickBot="1">
      <c r="B17" s="35" t="s">
        <v>70</v>
      </c>
      <c r="C17" s="35"/>
      <c r="D17" s="35"/>
      <c r="E17" s="36">
        <f t="shared" ref="E17:M17" si="7">SUM(E11:E15)</f>
        <v>402323.99999999994</v>
      </c>
      <c r="F17" s="36">
        <f t="shared" si="7"/>
        <v>18923.552</v>
      </c>
      <c r="G17" s="36">
        <f t="shared" si="7"/>
        <v>17139.002399999998</v>
      </c>
      <c r="H17" s="36">
        <f t="shared" si="7"/>
        <v>2730.91572</v>
      </c>
      <c r="I17" s="36">
        <f t="shared" si="7"/>
        <v>4781.9484000000002</v>
      </c>
      <c r="J17" s="36">
        <f t="shared" si="7"/>
        <v>5205.6372899999988</v>
      </c>
      <c r="K17" s="36">
        <f t="shared" si="7"/>
        <v>8046.48</v>
      </c>
      <c r="L17" s="36">
        <f t="shared" si="7"/>
        <v>9052.2899999999972</v>
      </c>
      <c r="M17" s="36">
        <f t="shared" si="7"/>
        <v>468203.82580999995</v>
      </c>
    </row>
    <row r="18" spans="1:16" ht="13.9" thickTop="1"/>
    <row r="19" spans="1:16">
      <c r="B19" s="26" t="s">
        <v>71</v>
      </c>
      <c r="C19" s="26"/>
      <c r="D19" s="26"/>
    </row>
    <row r="21" spans="1:16" ht="17.45">
      <c r="A21" s="76" t="s">
        <v>72</v>
      </c>
      <c r="E21" s="8"/>
      <c r="F21" s="115"/>
      <c r="G21" s="115"/>
      <c r="H21" s="115"/>
      <c r="I21" s="115"/>
      <c r="J21" s="115"/>
      <c r="K21" s="8"/>
      <c r="L21" s="33"/>
      <c r="M21" s="8"/>
    </row>
    <row r="22" spans="1:16" ht="14.45">
      <c r="B22" s="32"/>
      <c r="C22" s="32"/>
      <c r="D22" s="32"/>
      <c r="E22" s="8"/>
      <c r="F22" s="115"/>
      <c r="G22" s="115"/>
      <c r="H22" s="115"/>
      <c r="I22" s="115"/>
      <c r="J22" s="115"/>
      <c r="K22" s="8"/>
      <c r="L22" s="33"/>
      <c r="M22" s="8"/>
    </row>
    <row r="23" spans="1:16" ht="66">
      <c r="A23" s="60" t="s">
        <v>76</v>
      </c>
      <c r="B23" s="60" t="s">
        <v>77</v>
      </c>
      <c r="C23" s="60" t="s">
        <v>78</v>
      </c>
      <c r="D23" s="60" t="s">
        <v>79</v>
      </c>
      <c r="E23" s="61" t="s">
        <v>59</v>
      </c>
      <c r="F23" s="84" t="s">
        <v>85</v>
      </c>
      <c r="G23" s="62" t="s">
        <v>61</v>
      </c>
      <c r="H23" s="62" t="s">
        <v>20</v>
      </c>
      <c r="I23" s="62" t="s">
        <v>89</v>
      </c>
      <c r="J23" s="62" t="s">
        <v>62</v>
      </c>
      <c r="K23" s="61" t="s">
        <v>63</v>
      </c>
      <c r="L23" s="61" t="s">
        <v>64</v>
      </c>
      <c r="M23" s="61" t="s">
        <v>7</v>
      </c>
      <c r="N23" s="61" t="s">
        <v>73</v>
      </c>
      <c r="O23" s="63" t="s">
        <v>65</v>
      </c>
    </row>
    <row r="24" spans="1:16">
      <c r="A24" s="41"/>
      <c r="B24" s="41"/>
      <c r="C24" s="41"/>
      <c r="D24" s="41"/>
      <c r="E24" s="42"/>
      <c r="F24" s="51" t="s">
        <v>66</v>
      </c>
      <c r="G24" s="51" t="s">
        <v>67</v>
      </c>
      <c r="H24" s="51" t="s">
        <v>66</v>
      </c>
      <c r="I24" s="51" t="s">
        <v>66</v>
      </c>
      <c r="J24" s="51" t="s">
        <v>66</v>
      </c>
      <c r="K24" s="52" t="s">
        <v>68</v>
      </c>
      <c r="L24" s="42"/>
      <c r="M24" s="42"/>
      <c r="N24" s="42"/>
      <c r="O24" s="48"/>
    </row>
    <row r="25" spans="1:16">
      <c r="A25" s="43"/>
      <c r="B25" s="80" t="s">
        <v>80</v>
      </c>
      <c r="C25" s="43"/>
      <c r="D25" s="43"/>
      <c r="E25" s="44"/>
      <c r="F25" s="53">
        <f>F8</f>
        <v>4038.4</v>
      </c>
      <c r="G25" s="53"/>
      <c r="H25" s="53">
        <f t="shared" ref="H25:J27" si="8">H8</f>
        <v>629.72</v>
      </c>
      <c r="I25" s="53">
        <f t="shared" si="8"/>
        <v>1091.2</v>
      </c>
      <c r="J25" s="53">
        <f t="shared" si="8"/>
        <v>1093.4699999999998</v>
      </c>
      <c r="K25" s="53" t="s">
        <v>69</v>
      </c>
      <c r="L25" s="53"/>
      <c r="M25" s="53"/>
      <c r="N25" s="53"/>
      <c r="O25" s="49"/>
    </row>
    <row r="26" spans="1:16">
      <c r="A26" s="45"/>
      <c r="B26" s="81" t="s">
        <v>81</v>
      </c>
      <c r="C26" s="45"/>
      <c r="D26" s="45"/>
      <c r="E26" s="44"/>
      <c r="F26" s="54">
        <f>F9</f>
        <v>6.4000000000000001E-2</v>
      </c>
      <c r="G26" s="54">
        <f>G9</f>
        <v>4.2599999999999999E-2</v>
      </c>
      <c r="H26" s="54">
        <f t="shared" si="8"/>
        <v>6.9199999999999999E-3</v>
      </c>
      <c r="I26" s="54">
        <f t="shared" si="8"/>
        <v>1.24E-2</v>
      </c>
      <c r="J26" s="54">
        <f t="shared" si="8"/>
        <v>1.7779999999999997E-2</v>
      </c>
      <c r="K26" s="55">
        <v>0.04</v>
      </c>
      <c r="L26" s="55">
        <f>L9</f>
        <v>2.2499999999999999E-2</v>
      </c>
      <c r="M26" s="55">
        <v>0.08</v>
      </c>
      <c r="N26" s="55">
        <v>5.91E-2</v>
      </c>
      <c r="O26" s="49"/>
    </row>
    <row r="27" spans="1:16">
      <c r="A27" s="46"/>
      <c r="B27" s="79" t="s">
        <v>82</v>
      </c>
      <c r="C27" s="46"/>
      <c r="D27" s="46"/>
      <c r="E27" s="47"/>
      <c r="F27" s="56">
        <f>F10</f>
        <v>66600</v>
      </c>
      <c r="G27" s="56"/>
      <c r="H27" s="56">
        <f t="shared" si="8"/>
        <v>91000</v>
      </c>
      <c r="I27" s="56">
        <f t="shared" si="8"/>
        <v>88000</v>
      </c>
      <c r="J27" s="56">
        <f t="shared" si="8"/>
        <v>61500</v>
      </c>
      <c r="K27" s="47"/>
      <c r="L27" s="58"/>
      <c r="M27" s="58"/>
      <c r="N27" s="58"/>
      <c r="O27" s="50"/>
    </row>
    <row r="28" spans="1:16">
      <c r="A28" s="73"/>
      <c r="B28" s="78">
        <v>0</v>
      </c>
      <c r="C28" s="74">
        <v>35</v>
      </c>
      <c r="D28" s="75">
        <v>52</v>
      </c>
      <c r="E28" s="109">
        <f>B28*C28*D28</f>
        <v>0</v>
      </c>
      <c r="F28" s="109">
        <f>IF($E28*$F$26&lt;$F$25,($E28-3500)*$F$26,$F$25)</f>
        <v>-224</v>
      </c>
      <c r="G28" s="109">
        <f>$E28*$G$26</f>
        <v>0</v>
      </c>
      <c r="H28" s="109">
        <f>IF($E28*$H$26&lt;$H$25,$E28*$H$26,$H$25)</f>
        <v>0</v>
      </c>
      <c r="I28" s="109">
        <f>IF($E28*$I$26&lt;$I$25,$E28*$I$26,$I$25)</f>
        <v>0</v>
      </c>
      <c r="J28" s="109">
        <f>IF($E28*$J$26&lt;$J$25,$E28*$J$26,$J$25)</f>
        <v>0</v>
      </c>
      <c r="K28" s="109">
        <f>$E28*$K$26</f>
        <v>0</v>
      </c>
      <c r="L28" s="109">
        <f>$E28*$L$26</f>
        <v>0</v>
      </c>
      <c r="M28" s="109">
        <f t="shared" ref="M28:M33" si="9">$E28*$M$26</f>
        <v>0</v>
      </c>
      <c r="N28" s="109">
        <f t="shared" ref="N28:N33" si="10">$E28*$N$26</f>
        <v>0</v>
      </c>
      <c r="O28" s="109">
        <f>SUM(E28:N28)</f>
        <v>-224</v>
      </c>
      <c r="P28" s="72" t="e">
        <f>(+O28-E28)/E28</f>
        <v>#DIV/0!</v>
      </c>
    </row>
    <row r="29" spans="1:16">
      <c r="A29" s="73"/>
      <c r="B29" s="78">
        <v>0</v>
      </c>
      <c r="C29" s="74">
        <v>35</v>
      </c>
      <c r="D29" s="75">
        <v>52</v>
      </c>
      <c r="E29" s="109">
        <f t="shared" ref="E29:E33" si="11">B29*C29*D29</f>
        <v>0</v>
      </c>
      <c r="F29" s="109">
        <f t="shared" ref="F29:F33" si="12">IF($E29*$F$26&lt;$F$25,($E29-3500)*$F$26,$F$25)</f>
        <v>-224</v>
      </c>
      <c r="G29" s="109">
        <f>$E29*$G$26</f>
        <v>0</v>
      </c>
      <c r="H29" s="109">
        <f>IF($E29*$H$26&lt;$H$25,$E29*$H$26,$H$25)</f>
        <v>0</v>
      </c>
      <c r="I29" s="109">
        <f>IF($E29*$I$26&lt;$I$25,$E29*$I$26,$I$25)</f>
        <v>0</v>
      </c>
      <c r="J29" s="109">
        <f>IF($E29*$J$26&lt;$J$25,$E29*$J$26,$J$25)</f>
        <v>0</v>
      </c>
      <c r="K29" s="109">
        <f>$E29*$K$26</f>
        <v>0</v>
      </c>
      <c r="L29" s="109">
        <f>$E29*$L$26</f>
        <v>0</v>
      </c>
      <c r="M29" s="109">
        <f t="shared" si="9"/>
        <v>0</v>
      </c>
      <c r="N29" s="109">
        <f t="shared" si="10"/>
        <v>0</v>
      </c>
      <c r="O29" s="109">
        <f>SUM(E29:N29)</f>
        <v>-224</v>
      </c>
      <c r="P29" s="72" t="e">
        <f>(+O29-E29)/E29</f>
        <v>#DIV/0!</v>
      </c>
    </row>
    <row r="30" spans="1:16">
      <c r="A30" s="73"/>
      <c r="B30" s="78">
        <v>0</v>
      </c>
      <c r="C30" s="74">
        <v>35</v>
      </c>
      <c r="D30" s="75">
        <v>52</v>
      </c>
      <c r="E30" s="109">
        <f t="shared" si="11"/>
        <v>0</v>
      </c>
      <c r="F30" s="109">
        <f t="shared" si="12"/>
        <v>-224</v>
      </c>
      <c r="G30" s="109">
        <f>$E30*$G$26</f>
        <v>0</v>
      </c>
      <c r="H30" s="109">
        <f>IF($E30*$H$26&lt;$H$25,$E30*$H$26,$H$25)</f>
        <v>0</v>
      </c>
      <c r="I30" s="109">
        <f>IF($E30*$I$26&lt;$I$25,$E30*$I$26,$I$25)</f>
        <v>0</v>
      </c>
      <c r="J30" s="109">
        <f>IF($E30*$J$26&lt;$J$25,$E30*$J$26,$J$25)</f>
        <v>0</v>
      </c>
      <c r="K30" s="109">
        <f>$E30*$K$26</f>
        <v>0</v>
      </c>
      <c r="L30" s="109">
        <f>$E30*$L$26</f>
        <v>0</v>
      </c>
      <c r="M30" s="109">
        <f t="shared" si="9"/>
        <v>0</v>
      </c>
      <c r="N30" s="109">
        <f t="shared" si="10"/>
        <v>0</v>
      </c>
      <c r="O30" s="109">
        <f>SUM(E30:N30)</f>
        <v>-224</v>
      </c>
      <c r="P30" s="72" t="e">
        <f>(+O30-E30)/E30</f>
        <v>#DIV/0!</v>
      </c>
    </row>
    <row r="31" spans="1:16">
      <c r="A31" s="73"/>
      <c r="B31" s="78">
        <v>0</v>
      </c>
      <c r="C31" s="74">
        <v>35</v>
      </c>
      <c r="D31" s="75">
        <v>52</v>
      </c>
      <c r="E31" s="109">
        <f t="shared" si="11"/>
        <v>0</v>
      </c>
      <c r="F31" s="109">
        <f t="shared" si="12"/>
        <v>-224</v>
      </c>
      <c r="G31" s="109">
        <f t="shared" ref="G31:G32" si="13">$E31*$G$26</f>
        <v>0</v>
      </c>
      <c r="H31" s="109">
        <f t="shared" ref="H31:H32" si="14">IF($E31*$H$26&lt;$H$25,$E31*$H$26,$H$25)</f>
        <v>0</v>
      </c>
      <c r="I31" s="109">
        <f t="shared" ref="I31:I32" si="15">IF($E31*$I$26&lt;$I$25,$E31*$I$26,$I$25)</f>
        <v>0</v>
      </c>
      <c r="J31" s="109">
        <f t="shared" ref="J31:J32" si="16">IF($E31*$J$26&lt;$J$25,$E31*$J$26,$J$25)</f>
        <v>0</v>
      </c>
      <c r="K31" s="109">
        <f t="shared" ref="K31:K32" si="17">$E31*$K$26</f>
        <v>0</v>
      </c>
      <c r="L31" s="109">
        <f t="shared" ref="L31:L32" si="18">$E31*$L$26</f>
        <v>0</v>
      </c>
      <c r="M31" s="109">
        <f t="shared" si="9"/>
        <v>0</v>
      </c>
      <c r="N31" s="109">
        <f t="shared" si="10"/>
        <v>0</v>
      </c>
      <c r="O31" s="109">
        <f t="shared" ref="O31:O33" si="19">SUM(E31:N31)</f>
        <v>-224</v>
      </c>
      <c r="P31" s="72" t="e">
        <f t="shared" ref="P31:P33" si="20">(+O31-E31)/E31</f>
        <v>#DIV/0!</v>
      </c>
    </row>
    <row r="32" spans="1:16">
      <c r="A32" s="73"/>
      <c r="B32" s="78">
        <v>0</v>
      </c>
      <c r="C32" s="74">
        <v>35</v>
      </c>
      <c r="D32" s="75">
        <v>52</v>
      </c>
      <c r="E32" s="109">
        <f t="shared" si="11"/>
        <v>0</v>
      </c>
      <c r="F32" s="109">
        <f t="shared" si="12"/>
        <v>-224</v>
      </c>
      <c r="G32" s="109">
        <f t="shared" si="13"/>
        <v>0</v>
      </c>
      <c r="H32" s="109">
        <f t="shared" si="14"/>
        <v>0</v>
      </c>
      <c r="I32" s="109">
        <f t="shared" si="15"/>
        <v>0</v>
      </c>
      <c r="J32" s="109">
        <f t="shared" si="16"/>
        <v>0</v>
      </c>
      <c r="K32" s="109">
        <f t="shared" si="17"/>
        <v>0</v>
      </c>
      <c r="L32" s="109">
        <f t="shared" si="18"/>
        <v>0</v>
      </c>
      <c r="M32" s="109">
        <f t="shared" si="9"/>
        <v>0</v>
      </c>
      <c r="N32" s="109">
        <f t="shared" si="10"/>
        <v>0</v>
      </c>
      <c r="O32" s="109">
        <f t="shared" si="19"/>
        <v>-224</v>
      </c>
      <c r="P32" s="72" t="e">
        <f t="shared" si="20"/>
        <v>#DIV/0!</v>
      </c>
    </row>
    <row r="33" spans="1:16">
      <c r="A33" s="73"/>
      <c r="B33" s="78">
        <v>0</v>
      </c>
      <c r="C33" s="74">
        <v>35</v>
      </c>
      <c r="D33" s="75">
        <v>52</v>
      </c>
      <c r="E33" s="109">
        <f t="shared" si="11"/>
        <v>0</v>
      </c>
      <c r="F33" s="109">
        <f t="shared" si="12"/>
        <v>-224</v>
      </c>
      <c r="G33" s="109">
        <f>$E33*$G$26</f>
        <v>0</v>
      </c>
      <c r="H33" s="109">
        <f>IF($E33*$H$26&lt;$H$25,$E33*$H$26,$H$25)</f>
        <v>0</v>
      </c>
      <c r="I33" s="109">
        <f>IF($E33*$I$26&lt;$I$25,$E33*$I$26,$I$25)</f>
        <v>0</v>
      </c>
      <c r="J33" s="109">
        <f>IF($E33*$J$26&lt;$J$25,$E33*$J$26,$J$25)</f>
        <v>0</v>
      </c>
      <c r="K33" s="109">
        <f>$E33*$K$26</f>
        <v>0</v>
      </c>
      <c r="L33" s="109">
        <f>$E33*$L$26</f>
        <v>0</v>
      </c>
      <c r="M33" s="109">
        <f t="shared" si="9"/>
        <v>0</v>
      </c>
      <c r="N33" s="109">
        <f t="shared" si="10"/>
        <v>0</v>
      </c>
      <c r="O33" s="109">
        <f t="shared" si="19"/>
        <v>-224</v>
      </c>
      <c r="P33" s="72" t="e">
        <f t="shared" si="20"/>
        <v>#DIV/0!</v>
      </c>
    </row>
    <row r="34" spans="1:16">
      <c r="B34" s="26"/>
      <c r="C34" s="26"/>
      <c r="D34" s="26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</row>
    <row r="35" spans="1:16" ht="13.9" thickBot="1">
      <c r="B35" s="35" t="s">
        <v>70</v>
      </c>
      <c r="C35" s="35"/>
      <c r="D35" s="35"/>
      <c r="E35" s="36">
        <f t="shared" ref="E35:O35" si="21">SUM(E28:E33)</f>
        <v>0</v>
      </c>
      <c r="F35" s="36">
        <f t="shared" si="21"/>
        <v>-1344</v>
      </c>
      <c r="G35" s="36">
        <f t="shared" si="21"/>
        <v>0</v>
      </c>
      <c r="H35" s="36">
        <f t="shared" si="21"/>
        <v>0</v>
      </c>
      <c r="I35" s="36">
        <f t="shared" si="21"/>
        <v>0</v>
      </c>
      <c r="J35" s="36">
        <f t="shared" si="21"/>
        <v>0</v>
      </c>
      <c r="K35" s="36">
        <f t="shared" si="21"/>
        <v>0</v>
      </c>
      <c r="L35" s="36">
        <f t="shared" si="21"/>
        <v>0</v>
      </c>
      <c r="M35" s="36">
        <f t="shared" si="21"/>
        <v>0</v>
      </c>
      <c r="N35" s="36">
        <f t="shared" si="21"/>
        <v>0</v>
      </c>
      <c r="O35" s="36">
        <f t="shared" si="21"/>
        <v>-1344</v>
      </c>
    </row>
    <row r="36" spans="1:16" ht="13.9" thickTop="1"/>
    <row r="38" spans="1:16">
      <c r="A38" s="82" t="s">
        <v>86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38"/>
  <sheetViews>
    <sheetView workbookViewId="0">
      <selection activeCell="I21" sqref="I21"/>
    </sheetView>
  </sheetViews>
  <sheetFormatPr defaultColWidth="11.42578125" defaultRowHeight="13.15"/>
  <cols>
    <col min="1" max="1" width="34.42578125" customWidth="1"/>
    <col min="5" max="5" width="12.5703125" customWidth="1"/>
    <col min="6" max="13" width="11.42578125" customWidth="1"/>
    <col min="14" max="14" width="12.28515625" bestFit="1" customWidth="1"/>
    <col min="16" max="16" width="12.7109375" customWidth="1"/>
  </cols>
  <sheetData>
    <row r="1" spans="1:17" ht="22.9">
      <c r="A1" s="77" t="s">
        <v>104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7" ht="14.45">
      <c r="A2" s="32" t="s">
        <v>105</v>
      </c>
      <c r="E2" s="8"/>
      <c r="F2" s="115"/>
      <c r="G2" s="115"/>
      <c r="H2" s="115"/>
      <c r="I2" s="115"/>
      <c r="J2" s="115"/>
      <c r="K2" s="115"/>
      <c r="L2" s="8"/>
      <c r="M2" s="33"/>
      <c r="N2" s="8"/>
    </row>
    <row r="3" spans="1:17" ht="14.45">
      <c r="B3" s="32"/>
      <c r="C3" s="32"/>
      <c r="D3" s="32"/>
      <c r="E3" s="8"/>
      <c r="F3" s="115"/>
      <c r="G3" s="115"/>
      <c r="H3" s="115"/>
      <c r="I3" s="115"/>
      <c r="J3" s="115"/>
      <c r="K3" s="115"/>
      <c r="L3" s="8"/>
      <c r="M3" s="33"/>
      <c r="N3" s="8"/>
    </row>
    <row r="4" spans="1:17" ht="17.45">
      <c r="A4" s="76" t="s">
        <v>57</v>
      </c>
      <c r="E4" s="8"/>
      <c r="F4" s="115"/>
      <c r="G4" s="115"/>
      <c r="H4" s="115"/>
      <c r="I4" s="115"/>
      <c r="J4" s="115"/>
      <c r="K4" s="115"/>
      <c r="L4" s="8"/>
      <c r="M4" s="33"/>
      <c r="N4" s="8"/>
    </row>
    <row r="5" spans="1:17" ht="14.45">
      <c r="B5" s="32"/>
      <c r="C5" s="32"/>
      <c r="D5" s="32"/>
      <c r="E5" s="8"/>
      <c r="F5" s="115"/>
      <c r="G5" s="115"/>
      <c r="H5" s="115"/>
      <c r="I5" s="115"/>
      <c r="J5" s="115"/>
      <c r="K5" s="115"/>
      <c r="L5" s="8"/>
      <c r="M5" s="33"/>
      <c r="N5" s="8"/>
    </row>
    <row r="6" spans="1:17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83" t="s">
        <v>60</v>
      </c>
      <c r="H6" s="38" t="s">
        <v>61</v>
      </c>
      <c r="I6" s="38" t="s">
        <v>20</v>
      </c>
      <c r="J6" s="38" t="s">
        <v>89</v>
      </c>
      <c r="K6" s="38" t="s">
        <v>62</v>
      </c>
      <c r="L6" s="37" t="s">
        <v>63</v>
      </c>
      <c r="M6" s="37" t="s">
        <v>64</v>
      </c>
      <c r="N6" s="40" t="s">
        <v>65</v>
      </c>
    </row>
    <row r="7" spans="1:17">
      <c r="A7" s="41"/>
      <c r="B7" s="41"/>
      <c r="C7" s="41"/>
      <c r="D7" s="41"/>
      <c r="E7" s="42"/>
      <c r="F7" s="51" t="s">
        <v>66</v>
      </c>
      <c r="G7" s="51" t="s">
        <v>66</v>
      </c>
      <c r="H7" s="51" t="s">
        <v>67</v>
      </c>
      <c r="I7" s="51" t="s">
        <v>66</v>
      </c>
      <c r="J7" s="51" t="s">
        <v>66</v>
      </c>
      <c r="K7" s="51" t="s">
        <v>66</v>
      </c>
      <c r="L7" s="52" t="s">
        <v>68</v>
      </c>
      <c r="M7" s="42"/>
      <c r="N7" s="48"/>
    </row>
    <row r="8" spans="1:17">
      <c r="A8" s="43"/>
      <c r="B8" s="80" t="s">
        <v>80</v>
      </c>
      <c r="C8" s="43"/>
      <c r="D8" s="43"/>
      <c r="E8" s="44"/>
      <c r="F8" s="91">
        <f>(F10-3500)*F9</f>
        <v>4160</v>
      </c>
      <c r="G8" s="91">
        <v>188</v>
      </c>
      <c r="H8" s="91"/>
      <c r="I8" s="91">
        <f>I10*I9</f>
        <v>650.48</v>
      </c>
      <c r="J8" s="91">
        <f>+J10*J9</f>
        <v>1165.5999999999999</v>
      </c>
      <c r="K8" s="91">
        <f>K10*K9*1.4</f>
        <v>1167.9359999999999</v>
      </c>
      <c r="L8" s="53" t="s">
        <v>69</v>
      </c>
      <c r="M8" s="53"/>
      <c r="N8" s="49"/>
    </row>
    <row r="9" spans="1:17">
      <c r="A9" s="45"/>
      <c r="B9" s="81" t="s">
        <v>81</v>
      </c>
      <c r="C9" s="45"/>
      <c r="D9" s="45"/>
      <c r="E9" s="44"/>
      <c r="F9" s="94">
        <v>6.4000000000000001E-2</v>
      </c>
      <c r="G9" s="94">
        <v>0.04</v>
      </c>
      <c r="H9" s="94">
        <v>4.2599999999999999E-2</v>
      </c>
      <c r="I9" s="92">
        <v>6.9199999999999999E-3</v>
      </c>
      <c r="J9" s="94">
        <v>1.24E-2</v>
      </c>
      <c r="K9" s="92">
        <v>1.32E-2</v>
      </c>
      <c r="L9" s="55">
        <v>0.02</v>
      </c>
      <c r="M9" s="55">
        <v>2.2499999999999999E-2</v>
      </c>
      <c r="N9" s="49"/>
    </row>
    <row r="10" spans="1:17">
      <c r="A10" s="46"/>
      <c r="B10" s="79" t="s">
        <v>82</v>
      </c>
      <c r="C10" s="46"/>
      <c r="D10" s="46"/>
      <c r="E10" s="47"/>
      <c r="F10" s="93">
        <v>68500</v>
      </c>
      <c r="G10" s="93">
        <v>73200</v>
      </c>
      <c r="H10" s="95"/>
      <c r="I10" s="93">
        <v>94000</v>
      </c>
      <c r="J10" s="93">
        <v>94000</v>
      </c>
      <c r="K10" s="93">
        <v>63200</v>
      </c>
      <c r="L10" s="47"/>
      <c r="M10" s="58"/>
      <c r="N10" s="50"/>
    </row>
    <row r="11" spans="1:17">
      <c r="A11" s="73" t="s">
        <v>99</v>
      </c>
      <c r="B11" s="78">
        <f>47.98*1.03</f>
        <v>49.419399999999996</v>
      </c>
      <c r="C11" s="74">
        <v>26</v>
      </c>
      <c r="D11" s="75">
        <v>52</v>
      </c>
      <c r="E11" s="109">
        <f t="shared" ref="E11:E15" si="0">B11*C11*D11</f>
        <v>66815.0288</v>
      </c>
      <c r="F11" s="109">
        <f>IF($E11*$F$9&lt;$F$8,($E11-3500)*$F$9,$F$8)</f>
        <v>4160</v>
      </c>
      <c r="G11" s="109">
        <f t="shared" ref="G11:G14" si="1">IF(E11&lt;$F$10,0,(IF($E11&gt;$G$10,$G$8,(($G$10-$E11)*$G$9))))</f>
        <v>0</v>
      </c>
      <c r="H11" s="109">
        <f>$E11*$H$9</f>
        <v>2846.3202268800001</v>
      </c>
      <c r="I11" s="109">
        <f>IF($E11*$I$9&lt;$I$8,$E11*$I$9,$I$8)</f>
        <v>462.35999929600001</v>
      </c>
      <c r="J11" s="109">
        <f>IF($E11*$J$9&lt;$J$8,$E11*$J$9,$J$8)</f>
        <v>828.50635711999996</v>
      </c>
      <c r="K11" s="109">
        <f>IF($E11*$K$9&lt;$K$8,$E11*$K$9,$K$8)</f>
        <v>881.95838016000005</v>
      </c>
      <c r="L11" s="109">
        <f>$E11*$L$9</f>
        <v>1336.3005760000001</v>
      </c>
      <c r="M11" s="109">
        <f>$E11*$M$9</f>
        <v>1503.338148</v>
      </c>
      <c r="N11" s="109">
        <f>SUM(E11:M11)</f>
        <v>78833.812487455973</v>
      </c>
      <c r="O11" s="71">
        <f>(+N11-E11)/E11</f>
        <v>0.17988144139595091</v>
      </c>
      <c r="P11" s="85"/>
      <c r="Q11" s="85"/>
    </row>
    <row r="12" spans="1:17">
      <c r="A12" s="73" t="s">
        <v>100</v>
      </c>
      <c r="B12" s="78">
        <v>36.950000000000003</v>
      </c>
      <c r="C12" s="74">
        <v>37.5</v>
      </c>
      <c r="D12" s="75">
        <v>52</v>
      </c>
      <c r="E12" s="109">
        <f t="shared" si="0"/>
        <v>72052.5</v>
      </c>
      <c r="F12" s="109">
        <f t="shared" ref="F12:F14" si="2">IF($E12*$F$9&lt;$F$8,($E12-3500)*$F$9,$F$8)</f>
        <v>4160</v>
      </c>
      <c r="G12" s="109">
        <f t="shared" si="1"/>
        <v>45.9</v>
      </c>
      <c r="H12" s="109">
        <f>$E12*$H$9</f>
        <v>3069.4364999999998</v>
      </c>
      <c r="I12" s="109">
        <f>IF($E12*$I$9&lt;$I$8,$E12*$I$9,$I$8)</f>
        <v>498.60329999999999</v>
      </c>
      <c r="J12" s="109">
        <f>IF($E12*$J$9&lt;$J$8,$E12*$J$9,$J$8)</f>
        <v>893.45100000000002</v>
      </c>
      <c r="K12" s="109">
        <f>IF($E12*$K$9&lt;$K$8,$E12*$K$9,$K$8)</f>
        <v>951.09299999999996</v>
      </c>
      <c r="L12" s="109">
        <f>$E12*$L$9</f>
        <v>1441.05</v>
      </c>
      <c r="M12" s="109">
        <f>$E12*$M$9</f>
        <v>1621.1812499999999</v>
      </c>
      <c r="N12" s="109">
        <f t="shared" ref="N12:N15" si="3">SUM(E12:M12)</f>
        <v>84733.215049999984</v>
      </c>
      <c r="O12" s="64">
        <f t="shared" ref="O12:O15" si="4">(+N12-E12)/E12</f>
        <v>0.1759927143402378</v>
      </c>
      <c r="P12" s="85"/>
      <c r="Q12" s="85"/>
    </row>
    <row r="13" spans="1:17">
      <c r="A13" s="73" t="s">
        <v>101</v>
      </c>
      <c r="B13" s="78">
        <v>47.98</v>
      </c>
      <c r="C13" s="74">
        <v>37.5</v>
      </c>
      <c r="D13" s="75">
        <v>52</v>
      </c>
      <c r="E13" s="109">
        <f t="shared" si="0"/>
        <v>93560.999999999985</v>
      </c>
      <c r="F13" s="109">
        <f t="shared" si="2"/>
        <v>4160</v>
      </c>
      <c r="G13" s="109">
        <f t="shared" si="1"/>
        <v>188</v>
      </c>
      <c r="H13" s="109">
        <f>$E13*$H$9</f>
        <v>3985.6985999999993</v>
      </c>
      <c r="I13" s="109">
        <f>IF($E13*$I$9&lt;$I$8,$E13*$I$9,$I$8)</f>
        <v>647.44211999999993</v>
      </c>
      <c r="J13" s="109">
        <f>IF($E13*$J$9&lt;$J$8,$E13*$J$9,$J$8)</f>
        <v>1160.1563999999998</v>
      </c>
      <c r="K13" s="109">
        <f>IF($E13*$K$9&lt;$K$8,$E13*$K$9,$K$8)</f>
        <v>1167.9359999999999</v>
      </c>
      <c r="L13" s="109">
        <f>$E13*$L$9</f>
        <v>1871.2199999999998</v>
      </c>
      <c r="M13" s="109">
        <f>$E13*$M$9</f>
        <v>2105.1224999999995</v>
      </c>
      <c r="N13" s="109">
        <f t="shared" si="3"/>
        <v>108846.57562</v>
      </c>
      <c r="O13" s="64">
        <f t="shared" si="4"/>
        <v>0.16337550496467568</v>
      </c>
    </row>
    <row r="14" spans="1:17">
      <c r="A14" s="73" t="s">
        <v>102</v>
      </c>
      <c r="B14" s="78">
        <v>38.39</v>
      </c>
      <c r="C14" s="74">
        <v>37.5</v>
      </c>
      <c r="D14" s="75">
        <v>52</v>
      </c>
      <c r="E14" s="109">
        <f t="shared" si="0"/>
        <v>74860.5</v>
      </c>
      <c r="F14" s="109">
        <f t="shared" si="2"/>
        <v>4160</v>
      </c>
      <c r="G14" s="109">
        <f t="shared" si="1"/>
        <v>188</v>
      </c>
      <c r="H14" s="109">
        <f>$E14*$H$9</f>
        <v>3189.0572999999999</v>
      </c>
      <c r="I14" s="109">
        <f>IF($E14*$I$9&lt;$I$8,$E14*$I$9,$I$8)</f>
        <v>518.03466000000003</v>
      </c>
      <c r="J14" s="109">
        <f>IF($E14*$J$9&lt;$J$8,$E14*$J$9,$J$8)</f>
        <v>928.27019999999993</v>
      </c>
      <c r="K14" s="109">
        <f>IF($E14*$K$9&lt;$K$8,$E14*$K$9,$K$8)</f>
        <v>988.15859999999998</v>
      </c>
      <c r="L14" s="109">
        <f>$E14*$L$9</f>
        <v>1497.21</v>
      </c>
      <c r="M14" s="109">
        <f>$E14*$M$9</f>
        <v>1684.3612499999999</v>
      </c>
      <c r="N14" s="109">
        <f t="shared" si="3"/>
        <v>88013.592010000008</v>
      </c>
      <c r="O14" s="64">
        <f t="shared" si="4"/>
        <v>0.17570136467162265</v>
      </c>
    </row>
    <row r="15" spans="1:17">
      <c r="A15" s="73" t="s">
        <v>103</v>
      </c>
      <c r="B15" s="78">
        <v>47.98</v>
      </c>
      <c r="C15" s="74">
        <v>37.5</v>
      </c>
      <c r="D15" s="75">
        <v>52</v>
      </c>
      <c r="E15" s="109">
        <f t="shared" si="0"/>
        <v>93560.999999999985</v>
      </c>
      <c r="F15" s="109">
        <f>IF($E15*$F$9&lt;$F$8,($E15-3500)*$F$9,$F$8)</f>
        <v>4160</v>
      </c>
      <c r="G15" s="109">
        <f t="shared" ref="G15" si="5">IF(E15&lt;$F$10,0,(IF($E15&gt;$G$10,$G$8,(($G$10-$E15)*$G$9))))</f>
        <v>188</v>
      </c>
      <c r="H15" s="109">
        <f>$E15*$H$9</f>
        <v>3985.6985999999993</v>
      </c>
      <c r="I15" s="109">
        <f>IF($E15*$I$9&lt;$I$8,$E15*$I$9,$I$8)</f>
        <v>647.44211999999993</v>
      </c>
      <c r="J15" s="109">
        <f>IF($E15*$J$9&lt;$J$8,$E15*$J$9,$J$8)</f>
        <v>1160.1563999999998</v>
      </c>
      <c r="K15" s="109">
        <f>IF($E15*$K$9&lt;$K$8,$E15*$K$9,$K$8)</f>
        <v>1167.9359999999999</v>
      </c>
      <c r="L15" s="109">
        <f>$E15*$L$9</f>
        <v>1871.2199999999998</v>
      </c>
      <c r="M15" s="109">
        <f>$E15*$M$9</f>
        <v>2105.1224999999995</v>
      </c>
      <c r="N15" s="109">
        <f t="shared" si="3"/>
        <v>108846.57562</v>
      </c>
      <c r="O15" s="64">
        <f t="shared" si="4"/>
        <v>0.16337550496467568</v>
      </c>
    </row>
    <row r="16" spans="1:17">
      <c r="B16" s="26"/>
      <c r="C16" s="26"/>
      <c r="D16" s="26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7" ht="13.9" thickBot="1">
      <c r="B17" s="35" t="s">
        <v>70</v>
      </c>
      <c r="C17" s="35"/>
      <c r="D17" s="35"/>
      <c r="E17" s="36">
        <f t="shared" ref="E17:N17" si="6">SUM(E11:E15)</f>
        <v>400850.02879999997</v>
      </c>
      <c r="F17" s="36">
        <f t="shared" si="6"/>
        <v>20800</v>
      </c>
      <c r="G17" s="36">
        <f t="shared" si="6"/>
        <v>609.9</v>
      </c>
      <c r="H17" s="36">
        <f t="shared" si="6"/>
        <v>17076.211226879997</v>
      </c>
      <c r="I17" s="36">
        <f t="shared" si="6"/>
        <v>2773.8821992960002</v>
      </c>
      <c r="J17" s="36">
        <f t="shared" si="6"/>
        <v>4970.5403571199995</v>
      </c>
      <c r="K17" s="36">
        <f t="shared" si="6"/>
        <v>5157.0819801599991</v>
      </c>
      <c r="L17" s="36">
        <f t="shared" si="6"/>
        <v>8017.0005760000004</v>
      </c>
      <c r="M17" s="36">
        <f t="shared" si="6"/>
        <v>9019.1256479999993</v>
      </c>
      <c r="N17" s="36">
        <f t="shared" si="6"/>
        <v>469273.77078745601</v>
      </c>
    </row>
    <row r="18" spans="1:17" ht="13.9" thickTop="1"/>
    <row r="19" spans="1:17">
      <c r="B19" s="26" t="s">
        <v>71</v>
      </c>
      <c r="C19" s="26"/>
      <c r="D19" s="26"/>
    </row>
    <row r="21" spans="1:17" ht="17.45">
      <c r="A21" s="76" t="s">
        <v>72</v>
      </c>
      <c r="E21" s="8"/>
      <c r="F21" s="115"/>
      <c r="G21" s="115"/>
      <c r="H21" s="115"/>
      <c r="I21" s="115"/>
      <c r="J21" s="115"/>
      <c r="K21" s="115"/>
      <c r="L21" s="8"/>
      <c r="M21" s="33"/>
      <c r="N21" s="8"/>
    </row>
    <row r="22" spans="1:17" ht="14.45">
      <c r="B22" s="32"/>
      <c r="C22" s="32"/>
      <c r="D22" s="32"/>
      <c r="E22" s="8"/>
      <c r="F22" s="115"/>
      <c r="G22" s="115"/>
      <c r="H22" s="115"/>
      <c r="I22" s="115"/>
      <c r="J22" s="115"/>
      <c r="K22" s="115"/>
      <c r="L22" s="8"/>
      <c r="M22" s="33"/>
      <c r="N22" s="8"/>
    </row>
    <row r="23" spans="1:17" ht="66">
      <c r="A23" s="60" t="s">
        <v>76</v>
      </c>
      <c r="B23" s="60" t="s">
        <v>77</v>
      </c>
      <c r="C23" s="60" t="s">
        <v>78</v>
      </c>
      <c r="D23" s="60" t="s">
        <v>79</v>
      </c>
      <c r="E23" s="61" t="s">
        <v>59</v>
      </c>
      <c r="F23" s="84" t="s">
        <v>85</v>
      </c>
      <c r="G23" s="84"/>
      <c r="H23" s="62" t="s">
        <v>61</v>
      </c>
      <c r="I23" s="62" t="s">
        <v>20</v>
      </c>
      <c r="J23" s="62" t="s">
        <v>89</v>
      </c>
      <c r="K23" s="62" t="s">
        <v>62</v>
      </c>
      <c r="L23" s="61" t="s">
        <v>63</v>
      </c>
      <c r="M23" s="61" t="s">
        <v>64</v>
      </c>
      <c r="N23" s="61" t="s">
        <v>7</v>
      </c>
      <c r="O23" s="61" t="s">
        <v>73</v>
      </c>
      <c r="P23" s="63" t="s">
        <v>65</v>
      </c>
    </row>
    <row r="24" spans="1:17">
      <c r="A24" s="41"/>
      <c r="B24" s="41"/>
      <c r="C24" s="41"/>
      <c r="D24" s="41"/>
      <c r="E24" s="42"/>
      <c r="F24" s="51" t="s">
        <v>66</v>
      </c>
      <c r="G24" s="51" t="s">
        <v>66</v>
      </c>
      <c r="H24" s="51" t="s">
        <v>67</v>
      </c>
      <c r="I24" s="51" t="s">
        <v>66</v>
      </c>
      <c r="J24" s="51" t="s">
        <v>66</v>
      </c>
      <c r="K24" s="51" t="s">
        <v>66</v>
      </c>
      <c r="L24" s="52" t="s">
        <v>68</v>
      </c>
      <c r="M24" s="42"/>
      <c r="N24" s="42"/>
      <c r="O24" s="42"/>
      <c r="P24" s="48"/>
    </row>
    <row r="25" spans="1:17">
      <c r="A25" s="43"/>
      <c r="B25" s="80" t="s">
        <v>80</v>
      </c>
      <c r="C25" s="43"/>
      <c r="D25" s="43"/>
      <c r="E25" s="44"/>
      <c r="F25" s="53">
        <f>F8</f>
        <v>4160</v>
      </c>
      <c r="G25" s="53">
        <v>188</v>
      </c>
      <c r="H25" s="53"/>
      <c r="I25" s="53">
        <f t="shared" ref="I25:K27" si="7">I8</f>
        <v>650.48</v>
      </c>
      <c r="J25" s="53">
        <f t="shared" si="7"/>
        <v>1165.5999999999999</v>
      </c>
      <c r="K25" s="53">
        <f t="shared" si="7"/>
        <v>1167.9359999999999</v>
      </c>
      <c r="L25" s="53" t="s">
        <v>69</v>
      </c>
      <c r="M25" s="53"/>
      <c r="N25" s="53"/>
      <c r="O25" s="53"/>
      <c r="P25" s="49"/>
    </row>
    <row r="26" spans="1:17">
      <c r="A26" s="45"/>
      <c r="B26" s="81" t="s">
        <v>81</v>
      </c>
      <c r="C26" s="45"/>
      <c r="D26" s="45"/>
      <c r="E26" s="44"/>
      <c r="F26" s="54">
        <f>F9</f>
        <v>6.4000000000000001E-2</v>
      </c>
      <c r="G26" s="54">
        <v>0.04</v>
      </c>
      <c r="H26" s="54">
        <f>H9</f>
        <v>4.2599999999999999E-2</v>
      </c>
      <c r="I26" s="54">
        <f t="shared" si="7"/>
        <v>6.9199999999999999E-3</v>
      </c>
      <c r="J26" s="54">
        <f t="shared" si="7"/>
        <v>1.24E-2</v>
      </c>
      <c r="K26" s="54">
        <f t="shared" si="7"/>
        <v>1.32E-2</v>
      </c>
      <c r="L26" s="55">
        <v>0.04</v>
      </c>
      <c r="M26" s="55">
        <f>M9</f>
        <v>2.2499999999999999E-2</v>
      </c>
      <c r="N26" s="55">
        <v>0.08</v>
      </c>
      <c r="O26" s="55">
        <v>5.91E-2</v>
      </c>
      <c r="P26" s="49"/>
    </row>
    <row r="27" spans="1:17">
      <c r="A27" s="46"/>
      <c r="B27" s="79" t="s">
        <v>82</v>
      </c>
      <c r="C27" s="46"/>
      <c r="D27" s="46"/>
      <c r="E27" s="47"/>
      <c r="F27" s="56">
        <f>F10</f>
        <v>68500</v>
      </c>
      <c r="G27" s="56">
        <v>73200</v>
      </c>
      <c r="H27" s="56"/>
      <c r="I27" s="56">
        <f t="shared" si="7"/>
        <v>94000</v>
      </c>
      <c r="J27" s="56">
        <f t="shared" si="7"/>
        <v>94000</v>
      </c>
      <c r="K27" s="56">
        <f t="shared" si="7"/>
        <v>63200</v>
      </c>
      <c r="L27" s="47"/>
      <c r="M27" s="58"/>
      <c r="N27" s="58"/>
      <c r="O27" s="58"/>
      <c r="P27" s="50"/>
    </row>
    <row r="28" spans="1:17">
      <c r="A28" s="73"/>
      <c r="B28" s="78">
        <v>47.98</v>
      </c>
      <c r="C28" s="74">
        <v>35</v>
      </c>
      <c r="D28" s="75">
        <v>52</v>
      </c>
      <c r="E28" s="109">
        <f>B28*C28*D28</f>
        <v>87323.599999999991</v>
      </c>
      <c r="F28" s="109">
        <f>IF($E28*$F$26&lt;$F$25,($E28-3500)*$F$26,$F$25)</f>
        <v>4160</v>
      </c>
      <c r="G28" s="109">
        <f t="shared" ref="G28:G33" si="8">IF(E28&lt;$F$10,0,(IF($E28&gt;$G$10,$G$8,(($G$10-$E28)*$G$9))))</f>
        <v>188</v>
      </c>
      <c r="H28" s="109">
        <f>$E28*$H$26</f>
        <v>3719.9853599999997</v>
      </c>
      <c r="I28" s="109">
        <f>IF($E28*$I$26&lt;$I$25,$E28*$I$26,$I$25)</f>
        <v>604.27931199999989</v>
      </c>
      <c r="J28" s="109">
        <f>IF($E28*$J$26&lt;$J$25,$E28*$J$26,$J$25)</f>
        <v>1082.8126399999999</v>
      </c>
      <c r="K28" s="109">
        <f>IF($E28*$K$26&lt;$K$25,$E28*$K$26,$K$25)</f>
        <v>1152.6715199999999</v>
      </c>
      <c r="L28" s="109">
        <f>$E28*$L$26</f>
        <v>3492.9439999999995</v>
      </c>
      <c r="M28" s="109">
        <f>$E28*$M$26</f>
        <v>1964.7809999999997</v>
      </c>
      <c r="N28" s="109">
        <f t="shared" ref="N28:N33" si="9">$E28*$N$26</f>
        <v>6985.887999999999</v>
      </c>
      <c r="O28" s="109">
        <f t="shared" ref="O28:O33" si="10">$E28*$O$26</f>
        <v>5160.8247599999995</v>
      </c>
      <c r="P28" s="109">
        <f>SUM(E28:O28)</f>
        <v>115835.786592</v>
      </c>
      <c r="Q28" s="72">
        <f>(+P28-E28)/E28</f>
        <v>0.32651180885808667</v>
      </c>
    </row>
    <row r="29" spans="1:17">
      <c r="A29" s="73"/>
      <c r="B29" s="78">
        <v>36.950000000000003</v>
      </c>
      <c r="C29" s="74">
        <v>35</v>
      </c>
      <c r="D29" s="75">
        <v>52</v>
      </c>
      <c r="E29" s="109">
        <f t="shared" ref="E29:E33" si="11">B29*C29*D29</f>
        <v>67249</v>
      </c>
      <c r="F29" s="109">
        <f t="shared" ref="F29:F33" si="12">IF($E29*$F$26&lt;$F$25,($E29-3500)*$F$26,$F$25)</f>
        <v>4160</v>
      </c>
      <c r="G29" s="109">
        <f t="shared" si="8"/>
        <v>0</v>
      </c>
      <c r="H29" s="109">
        <f>$E29*$H$26</f>
        <v>2864.8074000000001</v>
      </c>
      <c r="I29" s="109">
        <f>IF($E29*$I$26&lt;$I$25,$E29*$I$26,$I$25)</f>
        <v>465.36307999999997</v>
      </c>
      <c r="J29" s="109">
        <f>IF($E29*$J$26&lt;$J$25,$E29*$J$26,$J$25)</f>
        <v>833.88760000000002</v>
      </c>
      <c r="K29" s="109">
        <f>IF($E29*$K$26&lt;$K$25,$E29*$K$26,$K$25)</f>
        <v>887.68679999999995</v>
      </c>
      <c r="L29" s="109">
        <f>$E29*$L$26</f>
        <v>2689.96</v>
      </c>
      <c r="M29" s="109">
        <f>$E29*$M$26</f>
        <v>1513.1025</v>
      </c>
      <c r="N29" s="109">
        <f t="shared" si="9"/>
        <v>5379.92</v>
      </c>
      <c r="O29" s="109">
        <f t="shared" si="10"/>
        <v>3974.4159</v>
      </c>
      <c r="P29" s="109">
        <f>SUM(E29:O29)</f>
        <v>90018.143279999989</v>
      </c>
      <c r="Q29" s="72">
        <f>(+P29-E29)/E29</f>
        <v>0.33857965590566386</v>
      </c>
    </row>
    <row r="30" spans="1:17">
      <c r="A30" s="73"/>
      <c r="B30" s="78">
        <v>47.98</v>
      </c>
      <c r="C30" s="74">
        <v>35</v>
      </c>
      <c r="D30" s="75">
        <v>52</v>
      </c>
      <c r="E30" s="109">
        <f t="shared" si="11"/>
        <v>87323.599999999991</v>
      </c>
      <c r="F30" s="109">
        <f t="shared" si="12"/>
        <v>4160</v>
      </c>
      <c r="G30" s="109">
        <f t="shared" si="8"/>
        <v>188</v>
      </c>
      <c r="H30" s="109">
        <f>$E30*$H$26</f>
        <v>3719.9853599999997</v>
      </c>
      <c r="I30" s="109">
        <f>IF($E30*$I$26&lt;$I$25,$E30*$I$26,$I$25)</f>
        <v>604.27931199999989</v>
      </c>
      <c r="J30" s="109">
        <f>IF($E30*$J$26&lt;$J$25,$E30*$J$26,$J$25)</f>
        <v>1082.8126399999999</v>
      </c>
      <c r="K30" s="109">
        <f>IF($E30*$K$26&lt;$K$25,$E30*$K$26,$K$25)</f>
        <v>1152.6715199999999</v>
      </c>
      <c r="L30" s="109">
        <f>$E30*$L$26</f>
        <v>3492.9439999999995</v>
      </c>
      <c r="M30" s="109">
        <f>$E30*$M$26</f>
        <v>1964.7809999999997</v>
      </c>
      <c r="N30" s="109">
        <f t="shared" si="9"/>
        <v>6985.887999999999</v>
      </c>
      <c r="O30" s="109">
        <f t="shared" si="10"/>
        <v>5160.8247599999995</v>
      </c>
      <c r="P30" s="109">
        <f>SUM(E30:O30)</f>
        <v>115835.786592</v>
      </c>
      <c r="Q30" s="72">
        <f>(+P30-E30)/E30</f>
        <v>0.32651180885808667</v>
      </c>
    </row>
    <row r="31" spans="1:17">
      <c r="A31" s="73"/>
      <c r="B31" s="78">
        <v>38.39</v>
      </c>
      <c r="C31" s="74">
        <v>35</v>
      </c>
      <c r="D31" s="75">
        <v>52</v>
      </c>
      <c r="E31" s="109">
        <f t="shared" si="11"/>
        <v>69869.8</v>
      </c>
      <c r="F31" s="109">
        <f t="shared" si="12"/>
        <v>4160</v>
      </c>
      <c r="G31" s="109">
        <f t="shared" si="8"/>
        <v>133.20799999999988</v>
      </c>
      <c r="H31" s="109">
        <f t="shared" ref="H31:H32" si="13">$E31*$H$26</f>
        <v>2976.4534800000001</v>
      </c>
      <c r="I31" s="109">
        <f t="shared" ref="I31:I32" si="14">IF($E31*$I$26&lt;$I$25,$E31*$I$26,$I$25)</f>
        <v>483.49901600000004</v>
      </c>
      <c r="J31" s="109">
        <f t="shared" ref="J31:J32" si="15">IF($E31*$J$26&lt;$J$25,$E31*$J$26,$J$25)</f>
        <v>866.38552000000004</v>
      </c>
      <c r="K31" s="109">
        <f t="shared" ref="K31:K32" si="16">IF($E31*$K$26&lt;$K$25,$E31*$K$26,$K$25)</f>
        <v>922.28136000000006</v>
      </c>
      <c r="L31" s="109">
        <f t="shared" ref="L31:L32" si="17">$E31*$L$26</f>
        <v>2794.7920000000004</v>
      </c>
      <c r="M31" s="109">
        <f t="shared" ref="M31:M32" si="18">$E31*$M$26</f>
        <v>1572.0705</v>
      </c>
      <c r="N31" s="109">
        <f t="shared" si="9"/>
        <v>5589.5840000000007</v>
      </c>
      <c r="O31" s="109">
        <f t="shared" si="10"/>
        <v>4129.3051800000003</v>
      </c>
      <c r="P31" s="109">
        <f t="shared" ref="P31:P33" si="19">SUM(E31:O31)</f>
        <v>93497.379055999991</v>
      </c>
      <c r="Q31" s="72">
        <f t="shared" ref="Q31:Q33" si="20">(+P31-E31)/E31</f>
        <v>0.33816583210485768</v>
      </c>
    </row>
    <row r="32" spans="1:17">
      <c r="A32" s="73"/>
      <c r="B32" s="78">
        <v>47.98</v>
      </c>
      <c r="C32" s="74">
        <v>35</v>
      </c>
      <c r="D32" s="75">
        <v>52</v>
      </c>
      <c r="E32" s="109">
        <f t="shared" si="11"/>
        <v>87323.599999999991</v>
      </c>
      <c r="F32" s="109">
        <f t="shared" si="12"/>
        <v>4160</v>
      </c>
      <c r="G32" s="109">
        <f t="shared" si="8"/>
        <v>188</v>
      </c>
      <c r="H32" s="109">
        <f t="shared" si="13"/>
        <v>3719.9853599999997</v>
      </c>
      <c r="I32" s="109">
        <f t="shared" si="14"/>
        <v>604.27931199999989</v>
      </c>
      <c r="J32" s="109">
        <f t="shared" si="15"/>
        <v>1082.8126399999999</v>
      </c>
      <c r="K32" s="109">
        <f t="shared" si="16"/>
        <v>1152.6715199999999</v>
      </c>
      <c r="L32" s="109">
        <f t="shared" si="17"/>
        <v>3492.9439999999995</v>
      </c>
      <c r="M32" s="109">
        <f t="shared" si="18"/>
        <v>1964.7809999999997</v>
      </c>
      <c r="N32" s="109">
        <f t="shared" si="9"/>
        <v>6985.887999999999</v>
      </c>
      <c r="O32" s="109">
        <f t="shared" si="10"/>
        <v>5160.8247599999995</v>
      </c>
      <c r="P32" s="109">
        <f t="shared" si="19"/>
        <v>115835.786592</v>
      </c>
      <c r="Q32" s="72">
        <f t="shared" si="20"/>
        <v>0.32651180885808667</v>
      </c>
    </row>
    <row r="33" spans="1:17">
      <c r="A33" s="73"/>
      <c r="B33" s="78">
        <v>26</v>
      </c>
      <c r="C33" s="74">
        <v>35</v>
      </c>
      <c r="D33" s="75">
        <v>52</v>
      </c>
      <c r="E33" s="109">
        <f t="shared" si="11"/>
        <v>47320</v>
      </c>
      <c r="F33" s="109">
        <f t="shared" si="12"/>
        <v>2804.48</v>
      </c>
      <c r="G33" s="109">
        <f t="shared" si="8"/>
        <v>0</v>
      </c>
      <c r="H33" s="109">
        <f>$E33*$H$26</f>
        <v>2015.8319999999999</v>
      </c>
      <c r="I33" s="109">
        <f>IF($E33*$I$26&lt;$I$25,$E33*$I$26,$I$25)</f>
        <v>327.45440000000002</v>
      </c>
      <c r="J33" s="109">
        <f>IF($E33*$J$26&lt;$J$25,$E33*$J$26,$J$25)</f>
        <v>586.76800000000003</v>
      </c>
      <c r="K33" s="109">
        <f>IF($E33*$K$26&lt;$K$25,$E33*$K$26,$K$25)</f>
        <v>624.62400000000002</v>
      </c>
      <c r="L33" s="109">
        <f>$E33*$L$26</f>
        <v>1892.8</v>
      </c>
      <c r="M33" s="109">
        <f>$E33*$M$26</f>
        <v>1064.7</v>
      </c>
      <c r="N33" s="109">
        <f t="shared" si="9"/>
        <v>3785.6</v>
      </c>
      <c r="O33" s="109">
        <f t="shared" si="10"/>
        <v>2796.6120000000001</v>
      </c>
      <c r="P33" s="109">
        <f t="shared" si="19"/>
        <v>63218.870400000007</v>
      </c>
      <c r="Q33" s="72">
        <f t="shared" si="20"/>
        <v>0.33598627218934929</v>
      </c>
    </row>
    <row r="34" spans="1:17">
      <c r="B34" s="26"/>
      <c r="C34" s="26"/>
      <c r="D34" s="26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  <row r="35" spans="1:17" ht="13.9" thickBot="1">
      <c r="B35" s="35" t="s">
        <v>70</v>
      </c>
      <c r="C35" s="35"/>
      <c r="D35" s="35"/>
      <c r="E35" s="36">
        <f t="shared" ref="E35:P35" si="21">SUM(E28:E33)</f>
        <v>446409.59999999992</v>
      </c>
      <c r="F35" s="36">
        <f t="shared" si="21"/>
        <v>23604.48</v>
      </c>
      <c r="G35" s="36"/>
      <c r="H35" s="36">
        <f t="shared" si="21"/>
        <v>19017.048959999996</v>
      </c>
      <c r="I35" s="36">
        <f t="shared" si="21"/>
        <v>3089.1544319999998</v>
      </c>
      <c r="J35" s="36">
        <f t="shared" si="21"/>
        <v>5535.4790400000002</v>
      </c>
      <c r="K35" s="36">
        <f t="shared" si="21"/>
        <v>5892.6067199999998</v>
      </c>
      <c r="L35" s="36">
        <f t="shared" si="21"/>
        <v>17856.383999999998</v>
      </c>
      <c r="M35" s="36">
        <f t="shared" si="21"/>
        <v>10044.216</v>
      </c>
      <c r="N35" s="36">
        <f t="shared" si="21"/>
        <v>35712.767999999996</v>
      </c>
      <c r="O35" s="36">
        <f t="shared" si="21"/>
        <v>26382.807359999999</v>
      </c>
      <c r="P35" s="36">
        <f t="shared" si="21"/>
        <v>594241.75251200004</v>
      </c>
    </row>
    <row r="36" spans="1:17" ht="13.9" thickTop="1"/>
    <row r="38" spans="1:17">
      <c r="A38" s="82" t="s">
        <v>106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38"/>
  <sheetViews>
    <sheetView tabSelected="1" workbookViewId="0">
      <selection activeCell="A5" sqref="A5"/>
    </sheetView>
  </sheetViews>
  <sheetFormatPr defaultColWidth="11.42578125" defaultRowHeight="13.15"/>
  <cols>
    <col min="1" max="1" width="34.42578125" customWidth="1"/>
    <col min="5" max="5" width="12.5703125" customWidth="1"/>
    <col min="6" max="13" width="11.42578125" customWidth="1"/>
    <col min="14" max="14" width="12.28515625" bestFit="1" customWidth="1"/>
    <col min="16" max="16" width="12.7109375" customWidth="1"/>
  </cols>
  <sheetData>
    <row r="1" spans="1:17" ht="22.9">
      <c r="A1" s="77" t="s">
        <v>107</v>
      </c>
      <c r="E1" s="115"/>
      <c r="F1" s="115"/>
      <c r="G1" s="115"/>
      <c r="H1" s="115"/>
      <c r="I1" s="115"/>
      <c r="J1" s="115"/>
      <c r="K1" s="96" t="s">
        <v>108</v>
      </c>
      <c r="L1" s="97"/>
      <c r="M1" s="142"/>
      <c r="N1" s="143"/>
    </row>
    <row r="2" spans="1:17" ht="14.45">
      <c r="A2" s="32" t="s">
        <v>109</v>
      </c>
      <c r="E2" s="8"/>
      <c r="F2" s="115"/>
      <c r="G2" s="115"/>
      <c r="H2" s="115"/>
      <c r="I2" s="115"/>
      <c r="J2" s="115"/>
      <c r="K2" s="98" t="s">
        <v>110</v>
      </c>
      <c r="L2" s="99"/>
      <c r="M2" s="100">
        <v>2.5999999999999999E-2</v>
      </c>
      <c r="N2" s="101"/>
      <c r="P2" s="106">
        <v>1.026</v>
      </c>
    </row>
    <row r="3" spans="1:17" ht="14.45">
      <c r="B3" s="32"/>
      <c r="C3" s="32"/>
      <c r="D3" s="32"/>
      <c r="E3" s="8"/>
      <c r="F3" s="115"/>
      <c r="G3" s="115"/>
      <c r="H3" s="115"/>
      <c r="I3" s="115"/>
      <c r="J3" s="115"/>
      <c r="K3" s="98" t="s">
        <v>111</v>
      </c>
      <c r="L3" s="99"/>
      <c r="M3" s="100">
        <v>2.5000000000000001E-2</v>
      </c>
      <c r="N3" s="101"/>
    </row>
    <row r="4" spans="1:17" ht="18" thickBot="1">
      <c r="A4" s="76" t="s">
        <v>57</v>
      </c>
      <c r="E4" s="8"/>
      <c r="F4" s="115"/>
      <c r="G4" s="115"/>
      <c r="H4" s="115"/>
      <c r="I4" s="115"/>
      <c r="J4" s="115"/>
      <c r="K4" s="102" t="s">
        <v>112</v>
      </c>
      <c r="L4" s="103"/>
      <c r="M4" s="104">
        <v>3.5000000000000003E-2</v>
      </c>
      <c r="N4" s="105"/>
    </row>
    <row r="5" spans="1:17" ht="14.45">
      <c r="B5" s="32"/>
      <c r="C5" s="32"/>
      <c r="D5" s="32"/>
      <c r="E5" s="8"/>
      <c r="F5" s="115"/>
      <c r="G5" s="115"/>
      <c r="H5" s="115"/>
      <c r="I5" s="115"/>
      <c r="J5" s="115"/>
      <c r="K5" s="115"/>
      <c r="L5" s="8"/>
      <c r="M5" s="33"/>
      <c r="N5" s="8"/>
    </row>
    <row r="6" spans="1:17" ht="66">
      <c r="A6" s="39" t="s">
        <v>76</v>
      </c>
      <c r="B6" s="39" t="s">
        <v>77</v>
      </c>
      <c r="C6" s="39" t="s">
        <v>78</v>
      </c>
      <c r="D6" s="39" t="s">
        <v>79</v>
      </c>
      <c r="E6" s="37" t="s">
        <v>59</v>
      </c>
      <c r="F6" s="83" t="s">
        <v>85</v>
      </c>
      <c r="G6" s="83" t="s">
        <v>60</v>
      </c>
      <c r="H6" s="38" t="s">
        <v>61</v>
      </c>
      <c r="I6" s="38" t="s">
        <v>20</v>
      </c>
      <c r="J6" s="38" t="s">
        <v>89</v>
      </c>
      <c r="K6" s="38" t="s">
        <v>62</v>
      </c>
      <c r="L6" s="37" t="s">
        <v>63</v>
      </c>
      <c r="M6" s="37" t="s">
        <v>64</v>
      </c>
      <c r="N6" s="40" t="s">
        <v>65</v>
      </c>
    </row>
    <row r="7" spans="1:17">
      <c r="A7" s="41"/>
      <c r="B7" s="41"/>
      <c r="C7" s="41"/>
      <c r="D7" s="41"/>
      <c r="E7" s="42"/>
      <c r="F7" s="51" t="s">
        <v>66</v>
      </c>
      <c r="G7" s="51" t="s">
        <v>66</v>
      </c>
      <c r="H7" s="51" t="s">
        <v>67</v>
      </c>
      <c r="I7" s="51" t="s">
        <v>66</v>
      </c>
      <c r="J7" s="51" t="s">
        <v>66</v>
      </c>
      <c r="K7" s="51" t="s">
        <v>66</v>
      </c>
      <c r="L7" s="52" t="s">
        <v>68</v>
      </c>
      <c r="M7" s="42"/>
      <c r="N7" s="48"/>
    </row>
    <row r="8" spans="1:17">
      <c r="A8" s="43"/>
      <c r="B8" s="80" t="s">
        <v>80</v>
      </c>
      <c r="C8" s="43"/>
      <c r="D8" s="43"/>
      <c r="E8" s="44"/>
      <c r="F8" s="91">
        <f>(F10-3500)*F9</f>
        <v>4339.2</v>
      </c>
      <c r="G8" s="91">
        <v>396</v>
      </c>
      <c r="H8" s="91"/>
      <c r="I8" s="91">
        <f>I10*I9</f>
        <v>678.16</v>
      </c>
      <c r="J8" s="91">
        <v>1251.92</v>
      </c>
      <c r="K8" s="91">
        <f>K10*K9*1.4</f>
        <v>1204.9380000000001</v>
      </c>
      <c r="L8" s="53" t="s">
        <v>69</v>
      </c>
      <c r="M8" s="53"/>
      <c r="N8" s="49"/>
    </row>
    <row r="9" spans="1:17">
      <c r="A9" s="45"/>
      <c r="B9" s="81" t="s">
        <v>81</v>
      </c>
      <c r="C9" s="45"/>
      <c r="D9" s="45"/>
      <c r="E9" s="44"/>
      <c r="F9" s="94">
        <v>6.4000000000000001E-2</v>
      </c>
      <c r="G9" s="94">
        <v>0.04</v>
      </c>
      <c r="H9" s="94">
        <v>4.2599999999999999E-2</v>
      </c>
      <c r="I9" s="92">
        <v>6.9199999999999999E-3</v>
      </c>
      <c r="J9" s="94">
        <v>1.24E-2</v>
      </c>
      <c r="K9" s="94">
        <v>1.3100000000000001E-2</v>
      </c>
      <c r="L9" s="55">
        <v>0.02</v>
      </c>
      <c r="M9" s="55">
        <v>3.2500000000000001E-2</v>
      </c>
      <c r="N9" s="49"/>
    </row>
    <row r="10" spans="1:17">
      <c r="A10" s="46"/>
      <c r="B10" s="79" t="s">
        <v>82</v>
      </c>
      <c r="C10" s="46"/>
      <c r="D10" s="46"/>
      <c r="E10" s="47"/>
      <c r="F10" s="93">
        <v>71300</v>
      </c>
      <c r="G10" s="93">
        <v>81200</v>
      </c>
      <c r="H10" s="95"/>
      <c r="I10" s="93">
        <v>98000</v>
      </c>
      <c r="J10" s="93">
        <v>98000</v>
      </c>
      <c r="K10" s="93">
        <v>65700</v>
      </c>
      <c r="L10" s="47"/>
      <c r="M10" s="58"/>
      <c r="N10" s="50"/>
    </row>
    <row r="11" spans="1:17">
      <c r="A11" s="73"/>
      <c r="B11" s="78"/>
      <c r="C11" s="74">
        <v>38.75</v>
      </c>
      <c r="D11" s="75">
        <v>52</v>
      </c>
      <c r="E11" s="109">
        <f t="shared" ref="E11:E15" si="0">B11*C11*D11</f>
        <v>0</v>
      </c>
      <c r="F11" s="109">
        <f>IF($E11*$F$9&lt;$F$8,($E11-3500)*$F$9,$F$8)</f>
        <v>-224</v>
      </c>
      <c r="G11" s="109">
        <f t="shared" ref="G11:G15" si="1">IF(E11&lt;$F$10,0,(IF($E11&gt;$G$10,$G$8,(($G$10-$E11)*$G$9))))</f>
        <v>0</v>
      </c>
      <c r="H11" s="109">
        <f>$E11*$H$9</f>
        <v>0</v>
      </c>
      <c r="I11" s="109">
        <f>IF($E11*$I$9&lt;$I$8,$E11*$I$9,$I$8)</f>
        <v>0</v>
      </c>
      <c r="J11" s="109">
        <f>IF($E11*$J$9&lt;$J$8,$E11*$J$9,$J$8)</f>
        <v>0</v>
      </c>
      <c r="K11" s="109">
        <f>IF($E11*$K$9&lt;$K$8,$E11*$K$9,$K$8)</f>
        <v>0</v>
      </c>
      <c r="L11" s="109">
        <f>$E11*$L$9</f>
        <v>0</v>
      </c>
      <c r="M11" s="109">
        <f>$E11*$M$9</f>
        <v>0</v>
      </c>
      <c r="N11" s="109">
        <f>SUM(E11:M11)</f>
        <v>-224</v>
      </c>
      <c r="O11" s="71" t="e">
        <f>(+N11-E11)/E11</f>
        <v>#DIV/0!</v>
      </c>
      <c r="P11" s="85"/>
      <c r="Q11" s="107"/>
    </row>
    <row r="12" spans="1:17">
      <c r="A12" s="110"/>
      <c r="B12" s="78"/>
      <c r="C12" s="74">
        <v>38.75</v>
      </c>
      <c r="D12" s="75">
        <v>52</v>
      </c>
      <c r="E12" s="109">
        <f t="shared" si="0"/>
        <v>0</v>
      </c>
      <c r="F12" s="109">
        <f t="shared" ref="F12:F14" si="2">IF($E12*$F$9&lt;$F$8,($E12-3500)*$F$9,$F$8)</f>
        <v>-224</v>
      </c>
      <c r="G12" s="109">
        <f t="shared" si="1"/>
        <v>0</v>
      </c>
      <c r="H12" s="109">
        <f>$E12*$H$9</f>
        <v>0</v>
      </c>
      <c r="I12" s="109">
        <f>IF($E12*$I$9&lt;$I$8,$E12*$I$9,$I$8)</f>
        <v>0</v>
      </c>
      <c r="J12" s="109">
        <f>IF($E12*$J$9&lt;$J$8,$E12*$J$9,$J$8)</f>
        <v>0</v>
      </c>
      <c r="K12" s="109">
        <f>IF($E12*$K$9&lt;$K$8,$E12*$K$9,$K$8)</f>
        <v>0</v>
      </c>
      <c r="L12" s="109">
        <f>$E12*$L$9</f>
        <v>0</v>
      </c>
      <c r="M12" s="109">
        <f>$E12*$M$9</f>
        <v>0</v>
      </c>
      <c r="N12" s="109">
        <f t="shared" ref="N12:N15" si="3">SUM(E12:M12)</f>
        <v>-224</v>
      </c>
      <c r="O12" s="64" t="e">
        <f t="shared" ref="O12:O15" si="4">(+N12-E12)/E12</f>
        <v>#DIV/0!</v>
      </c>
      <c r="P12" s="85"/>
      <c r="Q12" s="85"/>
    </row>
    <row r="13" spans="1:17">
      <c r="A13" s="73"/>
      <c r="B13" s="78"/>
      <c r="C13" s="74">
        <v>0</v>
      </c>
      <c r="D13" s="75">
        <v>52</v>
      </c>
      <c r="E13" s="109">
        <f t="shared" si="0"/>
        <v>0</v>
      </c>
      <c r="F13" s="109">
        <f t="shared" si="2"/>
        <v>-224</v>
      </c>
      <c r="G13" s="109">
        <f t="shared" si="1"/>
        <v>0</v>
      </c>
      <c r="H13" s="109">
        <f>$E13*$H$9</f>
        <v>0</v>
      </c>
      <c r="I13" s="109">
        <f>IF($E13*$I$9&lt;$I$8,$E13*$I$9,$I$8)</f>
        <v>0</v>
      </c>
      <c r="J13" s="109">
        <f>IF($E13*$J$9&lt;$J$8,$E13*$J$9,$J$8)</f>
        <v>0</v>
      </c>
      <c r="K13" s="109">
        <f>IF($E13*$K$9&lt;$K$8,$E13*$K$9,$K$8)</f>
        <v>0</v>
      </c>
      <c r="L13" s="109">
        <f>$E13*$L$9</f>
        <v>0</v>
      </c>
      <c r="M13" s="109">
        <f>$E13*$M$9</f>
        <v>0</v>
      </c>
      <c r="N13" s="109">
        <f t="shared" si="3"/>
        <v>-224</v>
      </c>
      <c r="O13" s="64" t="e">
        <f t="shared" si="4"/>
        <v>#DIV/0!</v>
      </c>
    </row>
    <row r="14" spans="1:17">
      <c r="A14" s="73"/>
      <c r="B14" s="78"/>
      <c r="C14" s="74">
        <v>35</v>
      </c>
      <c r="D14" s="75">
        <v>52</v>
      </c>
      <c r="E14" s="108">
        <f t="shared" si="0"/>
        <v>0</v>
      </c>
      <c r="F14" s="109">
        <f t="shared" si="2"/>
        <v>-224</v>
      </c>
      <c r="G14" s="109">
        <f t="shared" si="1"/>
        <v>0</v>
      </c>
      <c r="H14" s="109">
        <f>$E14*$H$9</f>
        <v>0</v>
      </c>
      <c r="I14" s="109">
        <f>IF($E14*$I$9&lt;$I$8,$E14*$I$9,$I$8)</f>
        <v>0</v>
      </c>
      <c r="J14" s="109">
        <f>IF($E14*$J$9&lt;$J$8,$E14*$J$9,$J$8)</f>
        <v>0</v>
      </c>
      <c r="K14" s="109">
        <f>IF($E14*$K$9&lt;$K$8,$E14*$K$9,$K$8)</f>
        <v>0</v>
      </c>
      <c r="L14" s="109">
        <f>$E14*$L$9</f>
        <v>0</v>
      </c>
      <c r="M14" s="109">
        <f>$E14*$M$9</f>
        <v>0</v>
      </c>
      <c r="N14" s="109">
        <f t="shared" si="3"/>
        <v>-224</v>
      </c>
      <c r="O14" s="64" t="e">
        <f t="shared" si="4"/>
        <v>#DIV/0!</v>
      </c>
    </row>
    <row r="15" spans="1:17">
      <c r="A15" s="73"/>
      <c r="B15" s="78"/>
      <c r="C15" s="74">
        <v>35</v>
      </c>
      <c r="D15" s="75">
        <v>52</v>
      </c>
      <c r="E15" s="108">
        <f t="shared" si="0"/>
        <v>0</v>
      </c>
      <c r="F15" s="109">
        <f>IF($E15*$F$9&lt;$F$8,($E15-3500)*$F$9,$F$8)</f>
        <v>-224</v>
      </c>
      <c r="G15" s="109">
        <f t="shared" si="1"/>
        <v>0</v>
      </c>
      <c r="H15" s="109">
        <f>$E15*$H$9</f>
        <v>0</v>
      </c>
      <c r="I15" s="109">
        <f>IF($E15*$I$9&lt;$I$8,$E15*$I$9,$I$8)</f>
        <v>0</v>
      </c>
      <c r="J15" s="109">
        <f>IF($E15*$J$9&lt;$J$8,$E15*$J$9,$J$8)</f>
        <v>0</v>
      </c>
      <c r="K15" s="109">
        <f>IF($E15*$K$9&lt;$K$8,$E15*$K$9,$K$8)</f>
        <v>0</v>
      </c>
      <c r="L15" s="109">
        <f>$E15*$L$9</f>
        <v>0</v>
      </c>
      <c r="M15" s="109">
        <f>$E15*$M$9</f>
        <v>0</v>
      </c>
      <c r="N15" s="109">
        <f t="shared" si="3"/>
        <v>-224</v>
      </c>
      <c r="O15" s="64" t="e">
        <f t="shared" si="4"/>
        <v>#DIV/0!</v>
      </c>
    </row>
    <row r="16" spans="1:17">
      <c r="B16" s="26"/>
      <c r="C16" s="26"/>
      <c r="D16" s="26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7" ht="13.9" thickBot="1">
      <c r="B17" s="35" t="s">
        <v>70</v>
      </c>
      <c r="C17" s="35"/>
      <c r="D17" s="35"/>
      <c r="E17" s="36">
        <f t="shared" ref="E17:N17" si="5">SUM(E11:E15)</f>
        <v>0</v>
      </c>
      <c r="F17" s="36">
        <f t="shared" si="5"/>
        <v>-1120</v>
      </c>
      <c r="G17" s="36">
        <f t="shared" si="5"/>
        <v>0</v>
      </c>
      <c r="H17" s="36">
        <f t="shared" si="5"/>
        <v>0</v>
      </c>
      <c r="I17" s="36">
        <f t="shared" si="5"/>
        <v>0</v>
      </c>
      <c r="J17" s="36">
        <f t="shared" si="5"/>
        <v>0</v>
      </c>
      <c r="K17" s="36">
        <f t="shared" si="5"/>
        <v>0</v>
      </c>
      <c r="L17" s="36">
        <f t="shared" si="5"/>
        <v>0</v>
      </c>
      <c r="M17" s="36">
        <f t="shared" si="5"/>
        <v>0</v>
      </c>
      <c r="N17" s="36">
        <f t="shared" si="5"/>
        <v>-1120</v>
      </c>
    </row>
    <row r="18" spans="1:17" ht="13.9" thickTop="1"/>
    <row r="19" spans="1:17">
      <c r="B19" s="26" t="s">
        <v>71</v>
      </c>
      <c r="C19" s="26"/>
      <c r="D19" s="26"/>
    </row>
    <row r="21" spans="1:17" ht="17.45">
      <c r="A21" s="76" t="s">
        <v>72</v>
      </c>
      <c r="E21" s="8"/>
      <c r="F21" s="115"/>
      <c r="G21" s="115"/>
      <c r="H21" s="115"/>
      <c r="I21" s="115"/>
      <c r="J21" s="115"/>
      <c r="K21" s="115"/>
      <c r="L21" s="8"/>
      <c r="M21" s="33"/>
      <c r="N21" s="8"/>
    </row>
    <row r="22" spans="1:17" ht="14.45">
      <c r="B22" s="32"/>
      <c r="C22" s="32"/>
      <c r="D22" s="32"/>
      <c r="E22" s="8"/>
      <c r="F22" s="115"/>
      <c r="G22" s="115"/>
      <c r="H22" s="115"/>
      <c r="I22" s="115"/>
      <c r="J22" s="115"/>
      <c r="K22" s="115"/>
      <c r="L22" s="8"/>
      <c r="M22" s="33"/>
      <c r="N22" s="8"/>
    </row>
    <row r="23" spans="1:17" ht="66">
      <c r="A23" s="60" t="s">
        <v>76</v>
      </c>
      <c r="B23" s="60" t="s">
        <v>77</v>
      </c>
      <c r="C23" s="60" t="s">
        <v>78</v>
      </c>
      <c r="D23" s="60" t="s">
        <v>79</v>
      </c>
      <c r="E23" s="61" t="s">
        <v>59</v>
      </c>
      <c r="F23" s="84" t="s">
        <v>85</v>
      </c>
      <c r="G23" s="84"/>
      <c r="H23" s="62" t="s">
        <v>61</v>
      </c>
      <c r="I23" s="62" t="s">
        <v>20</v>
      </c>
      <c r="J23" s="62" t="s">
        <v>89</v>
      </c>
      <c r="K23" s="62" t="s">
        <v>62</v>
      </c>
      <c r="L23" s="61" t="s">
        <v>63</v>
      </c>
      <c r="M23" s="61" t="s">
        <v>64</v>
      </c>
      <c r="N23" s="61" t="s">
        <v>7</v>
      </c>
      <c r="O23" s="61" t="s">
        <v>73</v>
      </c>
      <c r="P23" s="63" t="s">
        <v>65</v>
      </c>
    </row>
    <row r="24" spans="1:17">
      <c r="A24" s="41"/>
      <c r="B24" s="41"/>
      <c r="C24" s="41"/>
      <c r="D24" s="41"/>
      <c r="E24" s="42"/>
      <c r="F24" s="51" t="s">
        <v>66</v>
      </c>
      <c r="G24" s="51" t="s">
        <v>66</v>
      </c>
      <c r="H24" s="51" t="s">
        <v>67</v>
      </c>
      <c r="I24" s="51" t="s">
        <v>66</v>
      </c>
      <c r="J24" s="51" t="s">
        <v>66</v>
      </c>
      <c r="K24" s="51" t="s">
        <v>66</v>
      </c>
      <c r="L24" s="52" t="s">
        <v>68</v>
      </c>
      <c r="M24" s="42"/>
      <c r="N24" s="42"/>
      <c r="O24" s="42"/>
      <c r="P24" s="48"/>
    </row>
    <row r="25" spans="1:17">
      <c r="A25" s="43"/>
      <c r="B25" s="80" t="s">
        <v>80</v>
      </c>
      <c r="C25" s="43"/>
      <c r="D25" s="43"/>
      <c r="E25" s="44"/>
      <c r="F25" s="53">
        <f t="shared" ref="F25:G27" si="6">F8</f>
        <v>4339.2</v>
      </c>
      <c r="G25" s="53">
        <f t="shared" si="6"/>
        <v>396</v>
      </c>
      <c r="H25" s="53"/>
      <c r="I25" s="53">
        <f t="shared" ref="I25:K27" si="7">I8</f>
        <v>678.16</v>
      </c>
      <c r="J25" s="53">
        <f t="shared" si="7"/>
        <v>1251.92</v>
      </c>
      <c r="K25" s="53">
        <f t="shared" si="7"/>
        <v>1204.9380000000001</v>
      </c>
      <c r="L25" s="53" t="s">
        <v>69</v>
      </c>
      <c r="M25" s="53"/>
      <c r="N25" s="53"/>
      <c r="O25" s="53"/>
      <c r="P25" s="49"/>
    </row>
    <row r="26" spans="1:17">
      <c r="A26" s="45"/>
      <c r="B26" s="81" t="s">
        <v>81</v>
      </c>
      <c r="C26" s="45"/>
      <c r="D26" s="45"/>
      <c r="E26" s="44"/>
      <c r="F26" s="54">
        <f t="shared" si="6"/>
        <v>6.4000000000000001E-2</v>
      </c>
      <c r="G26" s="54">
        <f t="shared" si="6"/>
        <v>0.04</v>
      </c>
      <c r="H26" s="54">
        <f>H9</f>
        <v>4.2599999999999999E-2</v>
      </c>
      <c r="I26" s="54">
        <f t="shared" si="7"/>
        <v>6.9199999999999999E-3</v>
      </c>
      <c r="J26" s="54">
        <f t="shared" si="7"/>
        <v>1.24E-2</v>
      </c>
      <c r="K26" s="54">
        <f t="shared" si="7"/>
        <v>1.3100000000000001E-2</v>
      </c>
      <c r="L26" s="55">
        <v>0.04</v>
      </c>
      <c r="M26" s="55">
        <f>M9</f>
        <v>3.2500000000000001E-2</v>
      </c>
      <c r="N26" s="55">
        <v>0.08</v>
      </c>
      <c r="O26" s="55">
        <v>5.91E-2</v>
      </c>
      <c r="P26" s="49"/>
    </row>
    <row r="27" spans="1:17">
      <c r="A27" s="46"/>
      <c r="B27" s="79" t="s">
        <v>82</v>
      </c>
      <c r="C27" s="46"/>
      <c r="D27" s="46"/>
      <c r="E27" s="47"/>
      <c r="F27" s="56">
        <f t="shared" si="6"/>
        <v>71300</v>
      </c>
      <c r="G27" s="56">
        <f t="shared" si="6"/>
        <v>81200</v>
      </c>
      <c r="H27" s="56"/>
      <c r="I27" s="56">
        <f t="shared" si="7"/>
        <v>98000</v>
      </c>
      <c r="J27" s="56">
        <f t="shared" si="7"/>
        <v>98000</v>
      </c>
      <c r="K27" s="56">
        <f t="shared" si="7"/>
        <v>65700</v>
      </c>
      <c r="L27" s="47"/>
      <c r="M27" s="58"/>
      <c r="N27" s="58"/>
      <c r="O27" s="58"/>
      <c r="P27" s="50"/>
    </row>
    <row r="28" spans="1:17">
      <c r="A28" s="73"/>
      <c r="B28" s="78"/>
      <c r="C28" s="74">
        <v>23</v>
      </c>
      <c r="D28" s="75">
        <v>52</v>
      </c>
      <c r="E28" s="109">
        <f>B28*C28*D28</f>
        <v>0</v>
      </c>
      <c r="F28" s="109">
        <f>IF($E28*$F$26&lt;$F$25,($E28-3500)*$F$26,$F$25)</f>
        <v>-224</v>
      </c>
      <c r="G28" s="109">
        <f t="shared" ref="G28:G33" si="8">IF(E28&lt;$F$10,0,(IF($E28&gt;$G$10,$G$8,(($G$10-$E28)*$G$9))))</f>
        <v>0</v>
      </c>
      <c r="H28" s="109">
        <f>$E28*$H$26</f>
        <v>0</v>
      </c>
      <c r="I28" s="109">
        <f>IF($E28*$I$26&lt;$I$25,$E28*$I$26,$I$25)</f>
        <v>0</v>
      </c>
      <c r="J28" s="109">
        <f>IF($E28*$J$26&lt;$J$25,$E28*$J$26,$J$25)</f>
        <v>0</v>
      </c>
      <c r="K28" s="109">
        <f>IF($E28*$K$26&lt;$K$25,$E28*$K$26,$K$25)</f>
        <v>0</v>
      </c>
      <c r="L28" s="109">
        <f>$E28*$L$26</f>
        <v>0</v>
      </c>
      <c r="M28" s="109">
        <f>$E28*$M$26</f>
        <v>0</v>
      </c>
      <c r="N28" s="109">
        <f t="shared" ref="N28:N33" si="9">$E28*$N$26</f>
        <v>0</v>
      </c>
      <c r="O28" s="109">
        <f t="shared" ref="O28:O33" si="10">$E28*$O$26</f>
        <v>0</v>
      </c>
      <c r="P28" s="109">
        <f>SUM(E28:O28)</f>
        <v>-224</v>
      </c>
      <c r="Q28" s="72" t="e">
        <f>(+P28-E28)/E28</f>
        <v>#DIV/0!</v>
      </c>
    </row>
    <row r="29" spans="1:17">
      <c r="A29" s="73"/>
      <c r="B29" s="78"/>
      <c r="C29" s="74">
        <v>35</v>
      </c>
      <c r="D29" s="75">
        <v>52</v>
      </c>
      <c r="E29" s="109">
        <f t="shared" ref="E29:E33" si="11">B29*C29*D29</f>
        <v>0</v>
      </c>
      <c r="F29" s="109">
        <f t="shared" ref="F29:F33" si="12">IF($E29*$F$26&lt;$F$25,($E29-3500)*$F$26,$F$25)</f>
        <v>-224</v>
      </c>
      <c r="G29" s="109">
        <f t="shared" si="8"/>
        <v>0</v>
      </c>
      <c r="H29" s="109">
        <f>$E29*$H$26</f>
        <v>0</v>
      </c>
      <c r="I29" s="109">
        <f>IF($E29*$I$26&lt;$I$25,$E29*$I$26,$I$25)</f>
        <v>0</v>
      </c>
      <c r="J29" s="109">
        <f>IF($E29*$J$26&lt;$J$25,$E29*$J$26,$J$25)</f>
        <v>0</v>
      </c>
      <c r="K29" s="109">
        <f>IF($E29*$K$26&lt;$K$25,$E29*$K$26,$K$25)</f>
        <v>0</v>
      </c>
      <c r="L29" s="109">
        <f>$E29*$L$26</f>
        <v>0</v>
      </c>
      <c r="M29" s="109">
        <f>$E29*$M$26</f>
        <v>0</v>
      </c>
      <c r="N29" s="109">
        <f t="shared" si="9"/>
        <v>0</v>
      </c>
      <c r="O29" s="109">
        <f t="shared" si="10"/>
        <v>0</v>
      </c>
      <c r="P29" s="109">
        <f>SUM(E29:O29)</f>
        <v>-224</v>
      </c>
      <c r="Q29" s="72" t="e">
        <f>(+P29-E29)/E29</f>
        <v>#DIV/0!</v>
      </c>
    </row>
    <row r="30" spans="1:17">
      <c r="A30" s="73"/>
      <c r="B30" s="78"/>
      <c r="C30" s="74">
        <v>35</v>
      </c>
      <c r="D30" s="75">
        <v>52</v>
      </c>
      <c r="E30" s="109">
        <f t="shared" si="11"/>
        <v>0</v>
      </c>
      <c r="F30" s="109">
        <f t="shared" si="12"/>
        <v>-224</v>
      </c>
      <c r="G30" s="109">
        <f t="shared" si="8"/>
        <v>0</v>
      </c>
      <c r="H30" s="109">
        <f>$E30*$H$26</f>
        <v>0</v>
      </c>
      <c r="I30" s="109">
        <f>IF($E30*$I$26&lt;$I$25,$E30*$I$26,$I$25)</f>
        <v>0</v>
      </c>
      <c r="J30" s="109">
        <f>IF($E30*$J$26&lt;$J$25,$E30*$J$26,$J$25)</f>
        <v>0</v>
      </c>
      <c r="K30" s="109">
        <f>IF($E30*$K$26&lt;$K$25,$E30*$K$26,$K$25)</f>
        <v>0</v>
      </c>
      <c r="L30" s="109">
        <f>$E30*$L$26</f>
        <v>0</v>
      </c>
      <c r="M30" s="109">
        <f>$E30*$M$26</f>
        <v>0</v>
      </c>
      <c r="N30" s="109">
        <f t="shared" si="9"/>
        <v>0</v>
      </c>
      <c r="O30" s="109">
        <f t="shared" si="10"/>
        <v>0</v>
      </c>
      <c r="P30" s="109">
        <f>SUM(E30:O30)</f>
        <v>-224</v>
      </c>
      <c r="Q30" s="72" t="e">
        <f>(+P30-E30)/E30</f>
        <v>#DIV/0!</v>
      </c>
    </row>
    <row r="31" spans="1:17">
      <c r="A31" s="73"/>
      <c r="B31" s="78"/>
      <c r="C31" s="74">
        <v>35</v>
      </c>
      <c r="D31" s="75">
        <v>52</v>
      </c>
      <c r="E31" s="109">
        <f t="shared" si="11"/>
        <v>0</v>
      </c>
      <c r="F31" s="109">
        <f t="shared" si="12"/>
        <v>-224</v>
      </c>
      <c r="G31" s="109">
        <f t="shared" si="8"/>
        <v>0</v>
      </c>
      <c r="H31" s="109">
        <f t="shared" ref="H31:H32" si="13">$E31*$H$26</f>
        <v>0</v>
      </c>
      <c r="I31" s="109">
        <f t="shared" ref="I31:I32" si="14">IF($E31*$I$26&lt;$I$25,$E31*$I$26,$I$25)</f>
        <v>0</v>
      </c>
      <c r="J31" s="109">
        <f t="shared" ref="J31:J32" si="15">IF($E31*$J$26&lt;$J$25,$E31*$J$26,$J$25)</f>
        <v>0</v>
      </c>
      <c r="K31" s="109">
        <f t="shared" ref="K31:K32" si="16">IF($E31*$K$26&lt;$K$25,$E31*$K$26,$K$25)</f>
        <v>0</v>
      </c>
      <c r="L31" s="109">
        <f t="shared" ref="L31:L32" si="17">$E31*$L$26</f>
        <v>0</v>
      </c>
      <c r="M31" s="109">
        <f t="shared" ref="M31:M32" si="18">$E31*$M$26</f>
        <v>0</v>
      </c>
      <c r="N31" s="109">
        <f t="shared" si="9"/>
        <v>0</v>
      </c>
      <c r="O31" s="109">
        <f t="shared" si="10"/>
        <v>0</v>
      </c>
      <c r="P31" s="109">
        <f t="shared" ref="P31:P33" si="19">SUM(E31:O31)</f>
        <v>-224</v>
      </c>
      <c r="Q31" s="72" t="e">
        <f t="shared" ref="Q31:Q33" si="20">(+P31-E31)/E31</f>
        <v>#DIV/0!</v>
      </c>
    </row>
    <row r="32" spans="1:17">
      <c r="A32" s="73"/>
      <c r="B32" s="78"/>
      <c r="C32" s="74">
        <v>35</v>
      </c>
      <c r="D32" s="75">
        <v>52</v>
      </c>
      <c r="E32" s="109">
        <f t="shared" si="11"/>
        <v>0</v>
      </c>
      <c r="F32" s="109">
        <f t="shared" si="12"/>
        <v>-224</v>
      </c>
      <c r="G32" s="109">
        <f t="shared" si="8"/>
        <v>0</v>
      </c>
      <c r="H32" s="109">
        <f t="shared" si="13"/>
        <v>0</v>
      </c>
      <c r="I32" s="109">
        <f t="shared" si="14"/>
        <v>0</v>
      </c>
      <c r="J32" s="109">
        <f t="shared" si="15"/>
        <v>0</v>
      </c>
      <c r="K32" s="109">
        <f t="shared" si="16"/>
        <v>0</v>
      </c>
      <c r="L32" s="109">
        <f t="shared" si="17"/>
        <v>0</v>
      </c>
      <c r="M32" s="109">
        <f t="shared" si="18"/>
        <v>0</v>
      </c>
      <c r="N32" s="109">
        <f t="shared" si="9"/>
        <v>0</v>
      </c>
      <c r="O32" s="109">
        <f t="shared" si="10"/>
        <v>0</v>
      </c>
      <c r="P32" s="109">
        <f t="shared" si="19"/>
        <v>-224</v>
      </c>
      <c r="Q32" s="72" t="e">
        <f t="shared" si="20"/>
        <v>#DIV/0!</v>
      </c>
    </row>
    <row r="33" spans="1:17">
      <c r="A33" s="73"/>
      <c r="B33" s="78"/>
      <c r="C33" s="74">
        <v>35</v>
      </c>
      <c r="D33" s="75">
        <v>52</v>
      </c>
      <c r="E33" s="109">
        <f t="shared" si="11"/>
        <v>0</v>
      </c>
      <c r="F33" s="109">
        <f t="shared" si="12"/>
        <v>-224</v>
      </c>
      <c r="G33" s="109">
        <f t="shared" si="8"/>
        <v>0</v>
      </c>
      <c r="H33" s="109">
        <f>$E33*$H$26</f>
        <v>0</v>
      </c>
      <c r="I33" s="109">
        <f>IF($E33*$I$26&lt;$I$25,$E33*$I$26,$I$25)</f>
        <v>0</v>
      </c>
      <c r="J33" s="109">
        <f>IF($E33*$J$26&lt;$J$25,$E33*$J$26,$J$25)</f>
        <v>0</v>
      </c>
      <c r="K33" s="109">
        <f>IF($E33*$K$26&lt;$K$25,$E33*$K$26,$K$25)</f>
        <v>0</v>
      </c>
      <c r="L33" s="109">
        <f>$E33*$L$26</f>
        <v>0</v>
      </c>
      <c r="M33" s="109">
        <f>$E33*$M$26</f>
        <v>0</v>
      </c>
      <c r="N33" s="109">
        <f t="shared" si="9"/>
        <v>0</v>
      </c>
      <c r="O33" s="109">
        <f t="shared" si="10"/>
        <v>0</v>
      </c>
      <c r="P33" s="109">
        <f t="shared" si="19"/>
        <v>-224</v>
      </c>
      <c r="Q33" s="72" t="e">
        <f t="shared" si="20"/>
        <v>#DIV/0!</v>
      </c>
    </row>
    <row r="34" spans="1:17">
      <c r="B34" s="26"/>
      <c r="C34" s="26"/>
      <c r="D34" s="26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</row>
    <row r="35" spans="1:17" ht="13.9" thickBot="1">
      <c r="B35" s="35" t="s">
        <v>70</v>
      </c>
      <c r="C35" s="35"/>
      <c r="D35" s="35"/>
      <c r="E35" s="36">
        <f t="shared" ref="E35:P35" si="21">SUM(E28:E33)</f>
        <v>0</v>
      </c>
      <c r="F35" s="36">
        <f t="shared" si="21"/>
        <v>-1344</v>
      </c>
      <c r="G35" s="36"/>
      <c r="H35" s="36">
        <f t="shared" si="21"/>
        <v>0</v>
      </c>
      <c r="I35" s="36">
        <f t="shared" si="21"/>
        <v>0</v>
      </c>
      <c r="J35" s="36">
        <f t="shared" si="21"/>
        <v>0</v>
      </c>
      <c r="K35" s="36">
        <f t="shared" si="21"/>
        <v>0</v>
      </c>
      <c r="L35" s="36">
        <f t="shared" si="21"/>
        <v>0</v>
      </c>
      <c r="M35" s="36">
        <f t="shared" si="21"/>
        <v>0</v>
      </c>
      <c r="N35" s="36">
        <f t="shared" si="21"/>
        <v>0</v>
      </c>
      <c r="O35" s="36">
        <f t="shared" si="21"/>
        <v>0</v>
      </c>
      <c r="P35" s="36">
        <f t="shared" si="21"/>
        <v>-1344</v>
      </c>
    </row>
    <row r="36" spans="1:17" ht="13.9" thickTop="1"/>
    <row r="38" spans="1:17">
      <c r="A38" s="82" t="s">
        <v>113</v>
      </c>
    </row>
  </sheetData>
  <pageMargins left="0.39" right="0.3" top="0.5" bottom="0.74803149606299213" header="0.31496062992125984" footer="0.31496062992125984"/>
  <pageSetup scale="64" orientation="landscape" r:id="rId1"/>
  <headerFooter>
    <oddFooter>&amp;L&amp;8&amp;Z&amp;F&amp;R&amp;8&amp;D   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32"/>
  <sheetViews>
    <sheetView workbookViewId="0">
      <selection activeCell="C17" sqref="C17"/>
    </sheetView>
  </sheetViews>
  <sheetFormatPr defaultColWidth="11.42578125" defaultRowHeight="13.15"/>
  <cols>
    <col min="1" max="1" width="23.28515625" customWidth="1"/>
    <col min="2" max="3" width="20.5703125" customWidth="1"/>
  </cols>
  <sheetData>
    <row r="5" spans="1:3" ht="22.9">
      <c r="A5" s="111" t="s">
        <v>16</v>
      </c>
      <c r="B5" s="112"/>
      <c r="C5" s="112"/>
    </row>
    <row r="7" spans="1:3" ht="17.45">
      <c r="B7" s="1" t="s">
        <v>1</v>
      </c>
      <c r="C7" s="1" t="s">
        <v>2</v>
      </c>
    </row>
    <row r="9" spans="1:3">
      <c r="A9" s="2" t="s">
        <v>3</v>
      </c>
      <c r="B9" s="4">
        <v>4.95</v>
      </c>
      <c r="C9" s="4">
        <v>4.95</v>
      </c>
    </row>
    <row r="10" spans="1:3">
      <c r="A10" s="2" t="s">
        <v>4</v>
      </c>
      <c r="B10" s="4">
        <v>4.26</v>
      </c>
      <c r="C10" s="4">
        <v>4.26</v>
      </c>
    </row>
    <row r="11" spans="1:3">
      <c r="A11" s="2" t="s">
        <v>5</v>
      </c>
      <c r="B11" s="4">
        <v>1.25</v>
      </c>
      <c r="C11" s="4">
        <v>1.25</v>
      </c>
    </row>
    <row r="12" spans="1:3">
      <c r="A12" s="2" t="s">
        <v>6</v>
      </c>
      <c r="B12" s="4">
        <v>2.62</v>
      </c>
      <c r="C12" s="4">
        <v>2.62</v>
      </c>
    </row>
    <row r="13" spans="1:3">
      <c r="A13" s="2" t="s">
        <v>7</v>
      </c>
      <c r="B13" s="4">
        <v>8</v>
      </c>
      <c r="C13" s="4">
        <v>10</v>
      </c>
    </row>
    <row r="14" spans="1:3">
      <c r="A14" s="2"/>
      <c r="B14" s="4"/>
      <c r="C14" s="4"/>
    </row>
    <row r="15" spans="1:3">
      <c r="A15" s="3" t="s">
        <v>8</v>
      </c>
      <c r="B15" s="5">
        <f>SUM(B9:B14)</f>
        <v>21.080000000000002</v>
      </c>
      <c r="C15" s="5">
        <f>SUM(C9:C14)</f>
        <v>23.080000000000002</v>
      </c>
    </row>
    <row r="16" spans="1:3">
      <c r="A16" s="2"/>
      <c r="B16" s="4"/>
      <c r="C16" s="4"/>
    </row>
    <row r="17" spans="1:3">
      <c r="A17" s="2" t="s">
        <v>9</v>
      </c>
      <c r="B17" s="4">
        <v>9.91</v>
      </c>
      <c r="C17" s="4">
        <v>5.7</v>
      </c>
    </row>
    <row r="18" spans="1:3">
      <c r="A18" s="2"/>
      <c r="B18" s="4"/>
      <c r="C18" s="4"/>
    </row>
    <row r="19" spans="1:3">
      <c r="A19" s="3" t="s">
        <v>10</v>
      </c>
      <c r="B19" s="5">
        <f>SUM(B15:B17)</f>
        <v>30.990000000000002</v>
      </c>
      <c r="C19" s="5">
        <f>SUM(C15:C17)</f>
        <v>28.78</v>
      </c>
    </row>
    <row r="20" spans="1:3">
      <c r="A20" s="2"/>
      <c r="B20" s="4"/>
      <c r="C20" s="4"/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B23" s="6"/>
      <c r="C23" s="6"/>
    </row>
    <row r="24" spans="1:3">
      <c r="A24" s="2" t="s">
        <v>12</v>
      </c>
      <c r="B24" s="9">
        <v>248.01</v>
      </c>
      <c r="C24" s="8" t="s">
        <v>13</v>
      </c>
    </row>
    <row r="25" spans="1:3">
      <c r="A25" s="2"/>
      <c r="B25" s="4"/>
      <c r="C25" s="6"/>
    </row>
    <row r="26" spans="1:3" ht="13.9" thickBot="1">
      <c r="A26" s="2" t="s">
        <v>14</v>
      </c>
      <c r="B26" s="7">
        <f>B24*1.2098</f>
        <v>300.04249799999997</v>
      </c>
      <c r="C26" s="7">
        <f>B26/7.25</f>
        <v>41.385172137931029</v>
      </c>
    </row>
    <row r="27" spans="1:3" ht="13.9" thickTop="1">
      <c r="A27" s="2"/>
      <c r="B27" s="4"/>
      <c r="C27" s="6"/>
    </row>
    <row r="28" spans="1:3" ht="13.9" thickBot="1">
      <c r="A28" s="2" t="s">
        <v>15</v>
      </c>
      <c r="B28" s="7">
        <f>B24*1.2668</f>
        <v>314.17906799999997</v>
      </c>
      <c r="C28" s="7">
        <f>B28/7.25</f>
        <v>43.335043862068964</v>
      </c>
    </row>
    <row r="29" spans="1:3" ht="13.9" thickTop="1">
      <c r="A29" s="2"/>
      <c r="B29" s="4"/>
      <c r="C29" s="6"/>
    </row>
    <row r="30" spans="1:3">
      <c r="B30" s="6"/>
      <c r="C30" s="6"/>
    </row>
    <row r="31" spans="1:3">
      <c r="B31" s="6"/>
      <c r="C31" s="6"/>
    </row>
    <row r="32" spans="1:3">
      <c r="B32" s="6"/>
      <c r="C32" s="6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33"/>
  <sheetViews>
    <sheetView workbookViewId="0">
      <selection activeCell="E12" sqref="E12"/>
    </sheetView>
  </sheetViews>
  <sheetFormatPr defaultColWidth="11.42578125" defaultRowHeight="13.15"/>
  <cols>
    <col min="1" max="1" width="23.28515625" customWidth="1"/>
    <col min="2" max="3" width="20.5703125" customWidth="1"/>
    <col min="4" max="4" width="12.7109375" bestFit="1" customWidth="1"/>
  </cols>
  <sheetData>
    <row r="5" spans="1:6" ht="22.9">
      <c r="A5" s="111" t="s">
        <v>17</v>
      </c>
      <c r="B5" s="112"/>
      <c r="C5" s="112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1910.7</v>
      </c>
      <c r="E9" s="4">
        <v>1910.7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0.58299999999999996</v>
      </c>
      <c r="C11" s="10">
        <v>0.58299999999999996</v>
      </c>
      <c r="D11" s="4">
        <v>237.12</v>
      </c>
      <c r="E11" s="4">
        <v>332.31</v>
      </c>
    </row>
    <row r="12" spans="1:6">
      <c r="A12" s="2" t="s">
        <v>5</v>
      </c>
      <c r="B12" s="10">
        <v>1.25</v>
      </c>
      <c r="C12" s="10">
        <v>1.25</v>
      </c>
      <c r="D12" s="4"/>
      <c r="E12" s="4"/>
    </row>
    <row r="13" spans="1:6">
      <c r="A13" s="2" t="s">
        <v>6</v>
      </c>
      <c r="B13" s="10">
        <v>2.62</v>
      </c>
      <c r="C13" s="10">
        <v>2.62</v>
      </c>
      <c r="D13" s="4">
        <v>596.70000000000005</v>
      </c>
      <c r="E13" s="4">
        <v>687.39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21.663</v>
      </c>
      <c r="C16" s="11">
        <f>SUM(C9:C15)</f>
        <v>23.663</v>
      </c>
    </row>
    <row r="17" spans="1:3">
      <c r="A17" s="2"/>
      <c r="B17" s="10"/>
      <c r="C17" s="10"/>
    </row>
    <row r="18" spans="1:3">
      <c r="A18" s="2" t="s">
        <v>9</v>
      </c>
      <c r="B18" s="10">
        <v>9.91</v>
      </c>
      <c r="C18" s="10">
        <v>5.7</v>
      </c>
    </row>
    <row r="19" spans="1:3">
      <c r="A19" s="2"/>
      <c r="B19" s="10"/>
      <c r="C19" s="10"/>
    </row>
    <row r="20" spans="1:3">
      <c r="A20" s="3" t="s">
        <v>10</v>
      </c>
      <c r="B20" s="11">
        <f>SUM(B16:B18)</f>
        <v>31.573</v>
      </c>
      <c r="C20" s="11">
        <f>SUM(C16:C18)</f>
        <v>29.363</v>
      </c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A23" s="2"/>
      <c r="B23" s="4"/>
      <c r="C23" s="4"/>
    </row>
    <row r="24" spans="1:3">
      <c r="B24" s="6"/>
      <c r="C24" s="6"/>
    </row>
    <row r="25" spans="1:3">
      <c r="A25" s="2" t="s">
        <v>12</v>
      </c>
      <c r="B25" s="9">
        <v>34.700000000000003</v>
      </c>
      <c r="C25" s="8" t="s">
        <v>13</v>
      </c>
    </row>
    <row r="26" spans="1:3">
      <c r="A26" s="2"/>
      <c r="B26" s="4"/>
      <c r="C26" s="6"/>
    </row>
    <row r="27" spans="1:3" ht="13.9" thickBot="1">
      <c r="A27" s="2" t="s">
        <v>14</v>
      </c>
      <c r="B27" s="7">
        <f>B25*1.21663</f>
        <v>42.217061000000008</v>
      </c>
      <c r="C27" s="7">
        <f>B27/7.25</f>
        <v>5.8230428965517254</v>
      </c>
    </row>
    <row r="28" spans="1:3" ht="13.9" thickTop="1">
      <c r="A28" s="2"/>
      <c r="B28" s="4"/>
      <c r="C28" s="6"/>
    </row>
    <row r="29" spans="1:3" ht="13.9" thickBot="1">
      <c r="A29" s="2" t="s">
        <v>15</v>
      </c>
      <c r="B29" s="7">
        <f>B25*1.31573</f>
        <v>45.655831000000006</v>
      </c>
      <c r="C29" s="7">
        <f>B29/7.25</f>
        <v>6.2973560000000006</v>
      </c>
    </row>
    <row r="30" spans="1:3" ht="13.9" thickTop="1">
      <c r="A30" s="2"/>
      <c r="B30" s="4"/>
      <c r="C30" s="6"/>
    </row>
    <row r="31" spans="1:3">
      <c r="B31" s="6"/>
      <c r="C31" s="6"/>
    </row>
    <row r="32" spans="1:3">
      <c r="B32" s="6"/>
      <c r="C32" s="6"/>
    </row>
    <row r="33" spans="2:3">
      <c r="B33" s="6"/>
      <c r="C33" s="6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F33"/>
  <sheetViews>
    <sheetView workbookViewId="0">
      <selection activeCell="B27" sqref="B27"/>
    </sheetView>
  </sheetViews>
  <sheetFormatPr defaultColWidth="11.42578125" defaultRowHeight="13.15"/>
  <cols>
    <col min="1" max="1" width="23.28515625" customWidth="1"/>
    <col min="2" max="3" width="20.5703125" customWidth="1"/>
    <col min="4" max="4" width="12.7109375" bestFit="1" customWidth="1"/>
  </cols>
  <sheetData>
    <row r="5" spans="1:6" ht="22.9">
      <c r="A5" s="111" t="s">
        <v>21</v>
      </c>
      <c r="B5" s="112"/>
      <c r="C5" s="112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1989.9</v>
      </c>
      <c r="E9" s="4">
        <v>1989.9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0.58299999999999996</v>
      </c>
      <c r="C11" s="10">
        <v>0.58299999999999996</v>
      </c>
      <c r="D11" s="4">
        <v>245.44</v>
      </c>
      <c r="E11" s="4">
        <v>343.97</v>
      </c>
    </row>
    <row r="12" spans="1:6">
      <c r="A12" s="2" t="s">
        <v>5</v>
      </c>
      <c r="B12" s="10">
        <v>1.27</v>
      </c>
      <c r="C12" s="10">
        <v>1.27</v>
      </c>
      <c r="D12" s="4"/>
      <c r="E12" s="4"/>
    </row>
    <row r="13" spans="1:6">
      <c r="A13" s="2" t="s">
        <v>6</v>
      </c>
      <c r="B13" s="10">
        <v>2.61</v>
      </c>
      <c r="C13" s="10">
        <v>2.61</v>
      </c>
      <c r="D13" s="4">
        <v>584</v>
      </c>
      <c r="E13" s="4">
        <v>720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21.673000000000002</v>
      </c>
      <c r="C16" s="11">
        <f>SUM(C9:C15)</f>
        <v>23.673000000000002</v>
      </c>
    </row>
    <row r="17" spans="1:3">
      <c r="A17" s="2"/>
      <c r="B17" s="10"/>
      <c r="C17" s="10"/>
    </row>
    <row r="18" spans="1:3">
      <c r="A18" s="2" t="s">
        <v>9</v>
      </c>
      <c r="B18" s="10">
        <v>9.91</v>
      </c>
      <c r="C18" s="10">
        <v>5.7</v>
      </c>
    </row>
    <row r="19" spans="1:3">
      <c r="A19" s="2"/>
      <c r="B19" s="10"/>
      <c r="C19" s="10"/>
    </row>
    <row r="20" spans="1:3">
      <c r="A20" s="3" t="s">
        <v>10</v>
      </c>
      <c r="B20" s="11">
        <f>SUM(B16:B18)</f>
        <v>31.583000000000002</v>
      </c>
      <c r="C20" s="11">
        <f>SUM(C16:C18)</f>
        <v>29.373000000000001</v>
      </c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A23" s="2"/>
      <c r="B23" s="4"/>
      <c r="C23" s="4"/>
    </row>
    <row r="24" spans="1:3">
      <c r="B24" s="6"/>
      <c r="C24" s="6"/>
    </row>
    <row r="25" spans="1:3">
      <c r="A25" s="2" t="s">
        <v>12</v>
      </c>
      <c r="B25" s="9">
        <v>21.55</v>
      </c>
      <c r="C25" s="8" t="s">
        <v>13</v>
      </c>
    </row>
    <row r="26" spans="1:3">
      <c r="A26" s="2"/>
      <c r="B26" s="4"/>
      <c r="C26" s="6"/>
    </row>
    <row r="27" spans="1:3" ht="13.9" thickBot="1">
      <c r="A27" s="2" t="s">
        <v>14</v>
      </c>
      <c r="B27" s="7">
        <f>B25*1.21663</f>
        <v>26.218376500000002</v>
      </c>
      <c r="C27" s="7">
        <f>B27/7.25</f>
        <v>3.6163277931034483</v>
      </c>
    </row>
    <row r="28" spans="1:3" ht="13.9" thickTop="1">
      <c r="A28" s="2"/>
      <c r="B28" s="4"/>
      <c r="C28" s="6"/>
    </row>
    <row r="29" spans="1:3" ht="13.9" thickBot="1">
      <c r="A29" s="2" t="s">
        <v>15</v>
      </c>
      <c r="B29" s="7">
        <f>B25*1.31573</f>
        <v>28.353981500000003</v>
      </c>
      <c r="C29" s="7">
        <f>B29/7.25</f>
        <v>3.9108940000000003</v>
      </c>
    </row>
    <row r="30" spans="1:3" ht="13.9" thickTop="1">
      <c r="A30" s="2"/>
      <c r="B30" s="4"/>
      <c r="C30" s="6"/>
    </row>
    <row r="31" spans="1:3">
      <c r="B31" s="6"/>
      <c r="C31" s="6"/>
    </row>
    <row r="32" spans="1:3">
      <c r="B32" s="6"/>
      <c r="C32" s="6"/>
    </row>
    <row r="33" spans="2:3">
      <c r="B33" s="6"/>
      <c r="C33" s="6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F33"/>
  <sheetViews>
    <sheetView topLeftCell="A10" workbookViewId="0">
      <selection activeCell="B25" sqref="B25"/>
    </sheetView>
  </sheetViews>
  <sheetFormatPr defaultColWidth="11.42578125" defaultRowHeight="13.15"/>
  <cols>
    <col min="1" max="1" width="23.28515625" customWidth="1"/>
    <col min="2" max="3" width="20.5703125" customWidth="1"/>
    <col min="4" max="4" width="12.7109375" bestFit="1" customWidth="1"/>
  </cols>
  <sheetData>
    <row r="5" spans="1:6" ht="22.9">
      <c r="A5" s="111" t="s">
        <v>22</v>
      </c>
      <c r="B5" s="112"/>
      <c r="C5" s="112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2049.3000000000002</v>
      </c>
      <c r="E9" s="4">
        <v>2049.3000000000002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0.63</v>
      </c>
      <c r="C11" s="10">
        <v>0.63</v>
      </c>
      <c r="D11" s="4">
        <v>272.25</v>
      </c>
      <c r="E11" s="4">
        <v>381.15</v>
      </c>
    </row>
    <row r="12" spans="1:6">
      <c r="A12" s="2" t="s">
        <v>5</v>
      </c>
      <c r="B12" s="10">
        <v>1.27</v>
      </c>
      <c r="C12" s="10">
        <v>1.27</v>
      </c>
      <c r="D12" s="4"/>
      <c r="E12" s="4"/>
    </row>
    <row r="13" spans="1:6">
      <c r="A13" s="2" t="s">
        <v>6</v>
      </c>
      <c r="B13" s="10">
        <v>2.79</v>
      </c>
      <c r="C13" s="10">
        <v>2.79</v>
      </c>
      <c r="D13" s="4">
        <v>571.29</v>
      </c>
      <c r="E13" s="4">
        <v>711.03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21.900000000000002</v>
      </c>
      <c r="C16" s="11">
        <f>SUM(C9:C15)</f>
        <v>23.900000000000002</v>
      </c>
    </row>
    <row r="17" spans="1:3">
      <c r="A17" s="2"/>
      <c r="B17" s="10"/>
      <c r="C17" s="10"/>
    </row>
    <row r="18" spans="1:3">
      <c r="A18" s="2" t="s">
        <v>9</v>
      </c>
      <c r="B18" s="10">
        <v>9.91</v>
      </c>
      <c r="C18" s="10">
        <v>5.7</v>
      </c>
    </row>
    <row r="19" spans="1:3">
      <c r="A19" s="2"/>
      <c r="B19" s="10"/>
      <c r="C19" s="10"/>
    </row>
    <row r="20" spans="1:3">
      <c r="A20" s="3" t="s">
        <v>10</v>
      </c>
      <c r="B20" s="11">
        <f>SUM(B16:B18)</f>
        <v>31.810000000000002</v>
      </c>
      <c r="C20" s="11">
        <f>SUM(C16:C18)</f>
        <v>29.6</v>
      </c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A23" s="2"/>
      <c r="B23" s="4"/>
      <c r="C23" s="4"/>
    </row>
    <row r="24" spans="1:3">
      <c r="B24" s="6"/>
      <c r="C24" s="6"/>
    </row>
    <row r="25" spans="1:3">
      <c r="A25" s="2" t="s">
        <v>23</v>
      </c>
      <c r="B25" s="9">
        <v>922.6</v>
      </c>
      <c r="C25" s="8" t="s">
        <v>13</v>
      </c>
    </row>
    <row r="26" spans="1:3">
      <c r="A26" s="2"/>
      <c r="B26" s="4"/>
      <c r="C26" s="6"/>
    </row>
    <row r="27" spans="1:3" ht="13.9" thickBot="1">
      <c r="A27" s="2" t="s">
        <v>14</v>
      </c>
      <c r="B27" s="7">
        <f>B25*1.21663</f>
        <v>1122.4628380000001</v>
      </c>
      <c r="C27" s="7">
        <f>B27/5</f>
        <v>224.49256760000003</v>
      </c>
    </row>
    <row r="28" spans="1:3" ht="13.9" thickTop="1">
      <c r="A28" s="2"/>
      <c r="B28" s="4"/>
      <c r="C28" s="6"/>
    </row>
    <row r="29" spans="1:3" ht="13.9" thickBot="1">
      <c r="A29" s="2" t="s">
        <v>15</v>
      </c>
      <c r="B29" s="7">
        <f>B25*1.31573</f>
        <v>1213.8924980000002</v>
      </c>
      <c r="C29" s="7">
        <f>B29/5</f>
        <v>242.77849960000003</v>
      </c>
    </row>
    <row r="30" spans="1:3" ht="13.9" thickTop="1">
      <c r="A30" s="2"/>
      <c r="B30" s="4"/>
      <c r="C30" s="6"/>
    </row>
    <row r="31" spans="1:3">
      <c r="B31" s="6"/>
      <c r="C31" s="6"/>
    </row>
    <row r="32" spans="1:3">
      <c r="B32" s="6"/>
      <c r="C32" s="6"/>
    </row>
    <row r="33" spans="2:3">
      <c r="B33" s="6"/>
      <c r="C33" s="6"/>
    </row>
  </sheetData>
  <mergeCells count="1">
    <mergeCell ref="A5:C5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F33"/>
  <sheetViews>
    <sheetView workbookViewId="0">
      <selection activeCell="B26" sqref="B26"/>
    </sheetView>
  </sheetViews>
  <sheetFormatPr defaultColWidth="11.42578125" defaultRowHeight="13.15"/>
  <cols>
    <col min="1" max="1" width="23.28515625" customWidth="1"/>
    <col min="2" max="3" width="20.5703125" customWidth="1"/>
    <col min="4" max="4" width="12.7109375" bestFit="1" customWidth="1"/>
  </cols>
  <sheetData>
    <row r="5" spans="1:6" ht="22.9">
      <c r="A5" s="111" t="s">
        <v>24</v>
      </c>
      <c r="B5" s="112"/>
      <c r="C5" s="112"/>
    </row>
    <row r="6" spans="1:6">
      <c r="D6" s="113" t="s">
        <v>25</v>
      </c>
      <c r="E6" s="113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2118.6</v>
      </c>
      <c r="E9" s="4">
        <v>2118.6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0.67700000000000005</v>
      </c>
      <c r="C11" s="10">
        <v>0.67700000000000005</v>
      </c>
      <c r="D11" s="4">
        <v>300.08</v>
      </c>
      <c r="E11" s="4">
        <v>419.74</v>
      </c>
    </row>
    <row r="12" spans="1:6">
      <c r="A12" s="2" t="s">
        <v>5</v>
      </c>
      <c r="B12" s="10">
        <v>1.27</v>
      </c>
      <c r="C12" s="10">
        <v>1.27</v>
      </c>
      <c r="D12" s="4"/>
      <c r="E12" s="4"/>
    </row>
    <row r="13" spans="1:6">
      <c r="A13" s="2" t="s">
        <v>6</v>
      </c>
      <c r="B13" s="10">
        <v>3.11</v>
      </c>
      <c r="C13" s="10">
        <v>3.11</v>
      </c>
      <c r="D13" s="4">
        <v>583.74</v>
      </c>
      <c r="E13" s="4">
        <v>731.79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22.266999999999999</v>
      </c>
      <c r="C16" s="11">
        <f>SUM(C9:C15)</f>
        <v>24.266999999999999</v>
      </c>
    </row>
    <row r="17" spans="1:3">
      <c r="A17" s="2"/>
      <c r="B17" s="10"/>
      <c r="C17" s="10"/>
    </row>
    <row r="18" spans="1:3">
      <c r="A18" s="2" t="s">
        <v>9</v>
      </c>
      <c r="B18" s="10">
        <v>9.91</v>
      </c>
      <c r="C18" s="10">
        <v>5.7</v>
      </c>
    </row>
    <row r="19" spans="1:3">
      <c r="A19" s="2"/>
      <c r="B19" s="10"/>
      <c r="C19" s="10"/>
    </row>
    <row r="20" spans="1:3">
      <c r="A20" s="3" t="s">
        <v>10</v>
      </c>
      <c r="B20" s="11">
        <f>SUM(B16:B18)</f>
        <v>32.177</v>
      </c>
      <c r="C20" s="11">
        <f>SUM(C16:C18)</f>
        <v>29.966999999999999</v>
      </c>
    </row>
    <row r="21" spans="1:3">
      <c r="A21" s="2"/>
      <c r="B21" s="4"/>
      <c r="C21" s="4"/>
    </row>
    <row r="22" spans="1:3">
      <c r="A22" s="2"/>
      <c r="B22" s="4"/>
      <c r="C22" s="4"/>
    </row>
    <row r="23" spans="1:3">
      <c r="A23" s="2"/>
      <c r="B23" s="4"/>
      <c r="C23" s="4"/>
    </row>
    <row r="24" spans="1:3">
      <c r="B24" s="6"/>
      <c r="C24" s="6"/>
    </row>
    <row r="25" spans="1:3">
      <c r="A25" s="2" t="s">
        <v>23</v>
      </c>
      <c r="B25" s="9">
        <v>38.53</v>
      </c>
      <c r="C25" s="8" t="s">
        <v>13</v>
      </c>
    </row>
    <row r="26" spans="1:3">
      <c r="A26" s="2"/>
      <c r="B26" s="4"/>
      <c r="C26" s="6"/>
    </row>
    <row r="27" spans="1:3" ht="13.9" thickBot="1">
      <c r="A27" s="2" t="s">
        <v>14</v>
      </c>
      <c r="B27" s="7">
        <f>B25*1.22267</f>
        <v>47.109475099999997</v>
      </c>
      <c r="C27" s="7">
        <f>B27/5</f>
        <v>9.4218950199999991</v>
      </c>
    </row>
    <row r="28" spans="1:3" ht="13.9" thickTop="1">
      <c r="A28" s="2"/>
      <c r="B28" s="4"/>
      <c r="C28" s="6"/>
    </row>
    <row r="29" spans="1:3" ht="13.9" thickBot="1">
      <c r="A29" s="2" t="s">
        <v>15</v>
      </c>
      <c r="B29" s="7">
        <f>B25*1.32177</f>
        <v>50.927798099999997</v>
      </c>
      <c r="C29" s="7">
        <f>B29/5</f>
        <v>10.185559619999999</v>
      </c>
    </row>
    <row r="30" spans="1:3" ht="13.9" thickTop="1">
      <c r="A30" s="2"/>
      <c r="B30" s="4"/>
      <c r="C30" s="6"/>
    </row>
    <row r="31" spans="1:3">
      <c r="B31" s="6"/>
      <c r="C31" s="6"/>
    </row>
    <row r="32" spans="1:3">
      <c r="B32" s="6"/>
      <c r="C32" s="6"/>
    </row>
    <row r="33" spans="2:3">
      <c r="B33" s="6"/>
      <c r="C33" s="6"/>
    </row>
  </sheetData>
  <mergeCells count="2">
    <mergeCell ref="A5:C5"/>
    <mergeCell ref="D6:E6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F33"/>
  <sheetViews>
    <sheetView workbookViewId="0"/>
  </sheetViews>
  <sheetFormatPr defaultColWidth="11.42578125" defaultRowHeight="13.15"/>
  <cols>
    <col min="1" max="1" width="16.140625" customWidth="1"/>
    <col min="2" max="3" width="17" customWidth="1"/>
    <col min="4" max="4" width="12.7109375" bestFit="1" customWidth="1"/>
  </cols>
  <sheetData>
    <row r="5" spans="1:6" ht="22.9">
      <c r="A5" s="111" t="s">
        <v>26</v>
      </c>
      <c r="B5" s="112"/>
      <c r="C5" s="112"/>
    </row>
    <row r="6" spans="1:6">
      <c r="D6" s="113" t="s">
        <v>25</v>
      </c>
      <c r="E6" s="113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2163.15</v>
      </c>
      <c r="E9" s="4">
        <v>2163.15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0.69599999999999995</v>
      </c>
      <c r="C11" s="10">
        <v>0.69599999999999995</v>
      </c>
      <c r="D11" s="4">
        <v>316.25</v>
      </c>
      <c r="E11" s="4">
        <v>442.5</v>
      </c>
    </row>
    <row r="12" spans="1:6">
      <c r="A12" s="2" t="s">
        <v>5</v>
      </c>
      <c r="B12" s="10">
        <v>1.27</v>
      </c>
      <c r="C12" s="10">
        <v>1.27</v>
      </c>
      <c r="D12" s="4"/>
      <c r="E12" s="4"/>
    </row>
    <row r="13" spans="1:6">
      <c r="A13" s="2" t="s">
        <v>6</v>
      </c>
      <c r="B13" s="10">
        <v>3.09</v>
      </c>
      <c r="C13" s="10">
        <v>3.09</v>
      </c>
      <c r="D13" s="4">
        <v>587.52</v>
      </c>
      <c r="E13" s="4">
        <v>747.36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22.265999999999998</v>
      </c>
      <c r="C16" s="11">
        <f>SUM(C9:C15)</f>
        <v>24.265999999999998</v>
      </c>
    </row>
    <row r="17" spans="1:5">
      <c r="A17" s="2"/>
      <c r="B17" s="10"/>
      <c r="C17" s="10"/>
    </row>
    <row r="18" spans="1:5">
      <c r="A18" s="2" t="s">
        <v>9</v>
      </c>
      <c r="B18" s="10">
        <v>9.91</v>
      </c>
      <c r="C18" s="10">
        <v>5.7</v>
      </c>
    </row>
    <row r="19" spans="1:5">
      <c r="A19" s="2"/>
      <c r="B19" s="10"/>
      <c r="C19" s="10"/>
    </row>
    <row r="20" spans="1:5">
      <c r="A20" s="3" t="s">
        <v>10</v>
      </c>
      <c r="B20" s="11">
        <f>SUM(B16:B18)</f>
        <v>32.176000000000002</v>
      </c>
      <c r="C20" s="11">
        <f>SUM(C16:C18)</f>
        <v>29.965999999999998</v>
      </c>
    </row>
    <row r="21" spans="1:5">
      <c r="A21" s="2"/>
      <c r="B21" s="4"/>
      <c r="C21" s="4"/>
    </row>
    <row r="22" spans="1:5">
      <c r="A22" s="2"/>
      <c r="B22" s="4"/>
      <c r="C22" s="4"/>
    </row>
    <row r="23" spans="1:5">
      <c r="A23" s="2"/>
      <c r="B23" s="4"/>
      <c r="C23" s="4"/>
    </row>
    <row r="24" spans="1:5">
      <c r="B24" s="6"/>
      <c r="C24" s="6"/>
    </row>
    <row r="25" spans="1:5">
      <c r="A25" s="2" t="s">
        <v>13</v>
      </c>
      <c r="B25" s="9">
        <v>25.18</v>
      </c>
      <c r="C25" s="8" t="s">
        <v>13</v>
      </c>
    </row>
    <row r="26" spans="1:5">
      <c r="A26" s="2"/>
      <c r="B26" s="4"/>
      <c r="C26" s="6"/>
    </row>
    <row r="27" spans="1:5" ht="13.9" thickBot="1">
      <c r="A27" s="2" t="s">
        <v>14</v>
      </c>
      <c r="B27" s="7">
        <f>B25*1.22267</f>
        <v>30.786830599999998</v>
      </c>
      <c r="C27" s="7">
        <f>B27/5</f>
        <v>6.1573661199999998</v>
      </c>
      <c r="D27" s="7">
        <f>B27*52</f>
        <v>1600.9151912</v>
      </c>
      <c r="E27" s="7">
        <f>B27/5</f>
        <v>6.1573661199999998</v>
      </c>
    </row>
    <row r="28" spans="1:5" ht="13.9" thickTop="1">
      <c r="A28" s="2"/>
      <c r="B28" s="4"/>
      <c r="C28" s="6"/>
    </row>
    <row r="29" spans="1:5" ht="13.9" thickBot="1">
      <c r="A29" s="2" t="s">
        <v>15</v>
      </c>
      <c r="B29" s="7">
        <f>B25*1.32177</f>
        <v>33.282168599999999</v>
      </c>
      <c r="C29" s="7">
        <f>B29/5</f>
        <v>6.6564337199999999</v>
      </c>
      <c r="D29" s="7">
        <f>B29*52</f>
        <v>1730.6727672</v>
      </c>
    </row>
    <row r="30" spans="1:5" ht="13.9" thickTop="1">
      <c r="A30" s="2"/>
      <c r="B30" s="4"/>
      <c r="C30" s="6"/>
    </row>
    <row r="31" spans="1:5">
      <c r="B31" s="6"/>
      <c r="C31" s="6"/>
    </row>
    <row r="32" spans="1:5">
      <c r="B32" s="6"/>
      <c r="C32" s="6"/>
    </row>
    <row r="33" spans="2:3">
      <c r="B33" s="6"/>
      <c r="C33" s="6"/>
    </row>
  </sheetData>
  <mergeCells count="2">
    <mergeCell ref="A5:C5"/>
    <mergeCell ref="D6:E6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F33"/>
  <sheetViews>
    <sheetView topLeftCell="A4" workbookViewId="0">
      <selection activeCell="B14" sqref="B14"/>
    </sheetView>
  </sheetViews>
  <sheetFormatPr defaultColWidth="11.42578125" defaultRowHeight="13.15"/>
  <cols>
    <col min="1" max="1" width="23.28515625" customWidth="1"/>
    <col min="2" max="3" width="20.5703125" customWidth="1"/>
    <col min="4" max="4" width="13.85546875" bestFit="1" customWidth="1"/>
  </cols>
  <sheetData>
    <row r="5" spans="1:6" ht="22.9">
      <c r="A5" s="111" t="s">
        <v>27</v>
      </c>
      <c r="B5" s="112"/>
      <c r="C5" s="112"/>
    </row>
    <row r="6" spans="1:6">
      <c r="D6" s="113" t="s">
        <v>25</v>
      </c>
      <c r="E6" s="113"/>
    </row>
    <row r="7" spans="1:6" ht="17.45">
      <c r="B7" s="1" t="s">
        <v>1</v>
      </c>
      <c r="C7" s="1" t="s">
        <v>2</v>
      </c>
      <c r="D7" s="1" t="s">
        <v>18</v>
      </c>
      <c r="E7" s="1" t="s">
        <v>19</v>
      </c>
      <c r="F7" s="1"/>
    </row>
    <row r="9" spans="1:6">
      <c r="A9" s="2" t="s">
        <v>3</v>
      </c>
      <c r="B9" s="10">
        <v>4.95</v>
      </c>
      <c r="C9" s="10">
        <v>4.95</v>
      </c>
      <c r="D9" s="4">
        <v>2217.6</v>
      </c>
      <c r="E9" s="4">
        <v>2217.6</v>
      </c>
    </row>
    <row r="10" spans="1:6">
      <c r="A10" s="2" t="s">
        <v>4</v>
      </c>
      <c r="B10" s="10">
        <v>4.26</v>
      </c>
      <c r="C10" s="10">
        <v>4.26</v>
      </c>
      <c r="D10" s="4"/>
      <c r="E10" s="4"/>
    </row>
    <row r="11" spans="1:6">
      <c r="A11" s="2" t="s">
        <v>20</v>
      </c>
      <c r="B11" s="10">
        <v>0.53700000000000003</v>
      </c>
      <c r="C11" s="10">
        <v>0.752</v>
      </c>
      <c r="D11" s="4">
        <v>343.68</v>
      </c>
      <c r="E11" s="4">
        <v>481.28</v>
      </c>
    </row>
    <row r="12" spans="1:6">
      <c r="A12" s="2" t="s">
        <v>5</v>
      </c>
      <c r="B12" s="10">
        <v>1.34</v>
      </c>
      <c r="C12" s="10">
        <v>1.34</v>
      </c>
      <c r="D12" s="4"/>
      <c r="E12" s="4"/>
    </row>
    <row r="13" spans="1:6">
      <c r="A13" s="2" t="s">
        <v>6</v>
      </c>
      <c r="B13" s="10">
        <v>3.91</v>
      </c>
      <c r="C13" s="10">
        <v>3.91</v>
      </c>
      <c r="D13" s="4">
        <v>623.22</v>
      </c>
      <c r="E13" s="4">
        <v>786.76</v>
      </c>
    </row>
    <row r="14" spans="1:6">
      <c r="A14" s="2" t="s">
        <v>7</v>
      </c>
      <c r="B14" s="10">
        <v>8</v>
      </c>
      <c r="C14" s="10">
        <v>10</v>
      </c>
      <c r="D14" s="4"/>
      <c r="E14" s="4"/>
    </row>
    <row r="15" spans="1:6">
      <c r="A15" s="2"/>
      <c r="B15" s="4"/>
      <c r="C15" s="4"/>
    </row>
    <row r="16" spans="1:6">
      <c r="A16" s="3" t="s">
        <v>8</v>
      </c>
      <c r="B16" s="11">
        <f>SUM(B9:B15)</f>
        <v>22.997</v>
      </c>
      <c r="C16" s="11">
        <f>SUM(C9:C15)</f>
        <v>25.212000000000003</v>
      </c>
    </row>
    <row r="17" spans="1:5">
      <c r="A17" s="2"/>
      <c r="B17" s="10"/>
      <c r="C17" s="10"/>
    </row>
    <row r="18" spans="1:5">
      <c r="A18" s="2" t="s">
        <v>28</v>
      </c>
      <c r="B18" s="10">
        <v>9.91</v>
      </c>
      <c r="C18" s="10">
        <v>5.7</v>
      </c>
    </row>
    <row r="19" spans="1:5">
      <c r="A19" s="2"/>
      <c r="B19" s="10"/>
      <c r="C19" s="10"/>
    </row>
    <row r="20" spans="1:5">
      <c r="A20" s="2" t="s">
        <v>10</v>
      </c>
      <c r="B20" s="10">
        <f>SUM(B16:B18)</f>
        <v>32.906999999999996</v>
      </c>
      <c r="C20" s="10">
        <f>SUM(C16:C18)</f>
        <v>30.912000000000003</v>
      </c>
    </row>
    <row r="21" spans="1:5">
      <c r="A21" s="2"/>
      <c r="B21" s="4"/>
      <c r="C21" s="4"/>
    </row>
    <row r="22" spans="1:5">
      <c r="A22" s="2"/>
      <c r="B22" s="4"/>
      <c r="C22" s="4"/>
    </row>
    <row r="23" spans="1:5">
      <c r="A23" s="2"/>
      <c r="B23" s="4"/>
      <c r="C23" s="4"/>
    </row>
    <row r="24" spans="1:5">
      <c r="B24" s="6"/>
      <c r="C24" s="6"/>
    </row>
    <row r="25" spans="1:5">
      <c r="A25" s="2" t="s">
        <v>13</v>
      </c>
      <c r="B25" s="9">
        <v>29.15</v>
      </c>
      <c r="C25" s="8" t="s">
        <v>13</v>
      </c>
    </row>
    <row r="26" spans="1:5">
      <c r="A26" s="2"/>
      <c r="B26" s="4"/>
      <c r="C26" s="6"/>
    </row>
    <row r="27" spans="1:5" ht="13.9" thickBot="1">
      <c r="A27" s="2" t="s">
        <v>14</v>
      </c>
      <c r="B27" s="7">
        <f>B25*1.22267</f>
        <v>35.640830499999993</v>
      </c>
      <c r="C27" s="7">
        <f>B27/5</f>
        <v>7.1281660999999987</v>
      </c>
      <c r="D27" s="7">
        <f>B27*52</f>
        <v>1853.3231859999996</v>
      </c>
      <c r="E27" s="7">
        <f>B27/5</f>
        <v>7.1281660999999987</v>
      </c>
    </row>
    <row r="28" spans="1:5" ht="13.9" thickTop="1">
      <c r="A28" s="2"/>
      <c r="B28" s="4"/>
      <c r="C28" s="6"/>
    </row>
    <row r="29" spans="1:5" ht="13.9" thickBot="1">
      <c r="A29" s="2" t="s">
        <v>15</v>
      </c>
      <c r="B29" s="7">
        <f>B25*1.32177</f>
        <v>38.529595499999992</v>
      </c>
      <c r="C29" s="7">
        <f>B29/5</f>
        <v>7.7059190999999982</v>
      </c>
      <c r="D29" s="7">
        <f>B29*52</f>
        <v>2003.5389659999996</v>
      </c>
    </row>
    <row r="30" spans="1:5" ht="13.9" thickTop="1">
      <c r="A30" s="2"/>
      <c r="B30" s="4"/>
      <c r="C30" s="6"/>
    </row>
    <row r="31" spans="1:5">
      <c r="B31" s="6"/>
      <c r="C31" s="6"/>
    </row>
    <row r="32" spans="1:5">
      <c r="B32" s="6"/>
      <c r="C32" s="6"/>
    </row>
    <row r="33" spans="2:3">
      <c r="B33" s="6"/>
      <c r="C33" s="6"/>
    </row>
  </sheetData>
  <mergeCells count="2">
    <mergeCell ref="A5:C5"/>
    <mergeCell ref="D6:E6"/>
  </mergeCells>
  <phoneticPr fontId="0" type="noConversion"/>
  <pageMargins left="1.89" right="0.78740157499999996" top="0.984251969" bottom="0.984251969" header="0.4921259845" footer="0.492125984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6E275159B9048A5BD46C53720209C" ma:contentTypeVersion="17" ma:contentTypeDescription="Create a new document." ma:contentTypeScope="" ma:versionID="a9cad3af53a3890cb56d0ca4dab23696">
  <xsd:schema xmlns:xsd="http://www.w3.org/2001/XMLSchema" xmlns:xs="http://www.w3.org/2001/XMLSchema" xmlns:p="http://schemas.microsoft.com/office/2006/metadata/properties" xmlns:ns2="f4f7865e-d78f-4eb8-9b4f-eff637ad480b" xmlns:ns3="b8f11b12-45d2-4109-96a2-473061b8acc5" xmlns:ns4="http://schemas.microsoft.com/sharepoint/v4" targetNamespace="http://schemas.microsoft.com/office/2006/metadata/properties" ma:root="true" ma:fieldsID="d67a8b5a2793440ca5f187a08714710f" ns2:_="" ns3:_="" ns4:_="">
    <xsd:import namespace="f4f7865e-d78f-4eb8-9b4f-eff637ad480b"/>
    <xsd:import namespace="b8f11b12-45d2-4109-96a2-473061b8acc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Location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7865e-d78f-4eb8-9b4f-eff637ad48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989bc2-b0ac-430c-a6f2-a204eb029b16}" ma:internalName="TaxCatchAll" ma:showField="CatchAllData" ma:web="f4f7865e-d78f-4eb8-9b4f-eff637ad4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11b12-45d2-4109-96a2-473061b8a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67e799-30ef-406e-b763-26df4f5cf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f7865e-d78f-4eb8-9b4f-eff637ad480b" xsi:nil="true"/>
    <IconOverlay xmlns="http://schemas.microsoft.com/sharepoint/v4" xsi:nil="true"/>
    <lcf76f155ced4ddcb4097134ff3c332f xmlns="b8f11b12-45d2-4109-96a2-473061b8acc5">
      <Terms xmlns="http://schemas.microsoft.com/office/infopath/2007/PartnerControls"/>
    </lcf76f155ced4ddcb4097134ff3c332f>
    <_dlc_DocId xmlns="f4f7865e-d78f-4eb8-9b4f-eff637ad480b">K2UKP3KUNWPH-1287008780-11844</_dlc_DocId>
    <_dlc_DocIdUrl xmlns="f4f7865e-d78f-4eb8-9b4f-eff637ad480b">
      <Url>https://vortexsolution.sharepoint.com/sites/ClientsPartage/_layouts/15/DocIdRedir.aspx?ID=K2UKP3KUNWPH-1287008780-11844</Url>
      <Description>K2UKP3KUNWPH-1287008780-11844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A85BB35-F1B8-4694-9F58-C368A1470AC1}"/>
</file>

<file path=customXml/itemProps2.xml><?xml version="1.0" encoding="utf-8"?>
<ds:datastoreItem xmlns:ds="http://schemas.openxmlformats.org/officeDocument/2006/customXml" ds:itemID="{EA911FDB-4D2E-416F-9A9F-B3519FA11573}"/>
</file>

<file path=customXml/itemProps3.xml><?xml version="1.0" encoding="utf-8"?>
<ds:datastoreItem xmlns:ds="http://schemas.openxmlformats.org/officeDocument/2006/customXml" ds:itemID="{9498F31B-F085-40ED-8011-4DCACE2A0415}"/>
</file>

<file path=customXml/itemProps4.xml><?xml version="1.0" encoding="utf-8"?>
<ds:datastoreItem xmlns:ds="http://schemas.openxmlformats.org/officeDocument/2006/customXml" ds:itemID="{66C72F21-1B69-472A-B7B6-52F5AEF4C4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Institut de Cardiologie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 Julie</dc:creator>
  <cp:keywords/>
  <dc:description/>
  <cp:lastModifiedBy/>
  <cp:revision/>
  <dcterms:created xsi:type="dcterms:W3CDTF">2003-05-30T12:33:41Z</dcterms:created>
  <dcterms:modified xsi:type="dcterms:W3CDTF">2025-12-16T20:26:23Z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0x010100B6A6E275159B9048A5BD46C53720209C</vt:lpwstr>
  </property>
  <property fmtid="{D5CDD505-2E9C-101B-9397-08002B2CF9AE}" pid="3" name="_dlc_DocIdItemGuid">
    <vt:lpwstr>ecb49033-338b-4fbe-848d-82d24dca84a2</vt:lpwstr>
  </property>
</Properties>
</file>